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/>
  <mc:AlternateContent xmlns:mc="http://schemas.openxmlformats.org/markup-compatibility/2006">
    <mc:Choice Requires="x15">
      <x15ac:absPath xmlns:x15ac="http://schemas.microsoft.com/office/spreadsheetml/2010/11/ac" url="/Users/willyang/Coding/Claude-Skills/content-output/pptx-presenter/nosscr-know-your-numbers-fall-v3/playbook-assets/"/>
    </mc:Choice>
  </mc:AlternateContent>
  <xr:revisionPtr revIDLastSave="0" documentId="13_ncr:1_{1AB757C1-D0B7-9E44-BB25-4C4CCA7F3064}" xr6:coauthVersionLast="47" xr6:coauthVersionMax="47" xr10:uidLastSave="{00000000-0000-0000-0000-000000000000}"/>
  <bookViews>
    <workbookView xWindow="0" yWindow="620" windowWidth="51200" windowHeight="26540" xr2:uid="{00000000-000D-0000-FFFF-FFFF00000000}"/>
  </bookViews>
  <sheets>
    <sheet name="Read Me" sheetId="1" r:id="rId1"/>
    <sheet name="Forecast" sheetId="2" r:id="rId2"/>
    <sheet name="Worked initial case" sheetId="3" r:id="rId3"/>
    <sheet name="Assumptions" sheetId="4" r:id="rId4"/>
    <sheet name="Case calculations" sheetId="5" r:id="rId5"/>
    <sheet name="Cash flows" sheetId="6" r:id="rId6"/>
    <sheet name="Case inputs" sheetId="7" r:id="rId7"/>
    <sheet name="Matched history" sheetId="8" r:id="rId8"/>
    <sheet name="Benchmarks" sheetId="9" r:id="rId9"/>
    <sheet name="Forecast review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0" l="1"/>
  <c r="B16" i="10"/>
  <c r="I305" i="8"/>
  <c r="I304" i="8"/>
  <c r="I303" i="8"/>
  <c r="I302" i="8"/>
  <c r="I301" i="8"/>
  <c r="I300" i="8"/>
  <c r="I299" i="8"/>
  <c r="I298" i="8"/>
  <c r="I297" i="8"/>
  <c r="I296" i="8"/>
  <c r="I295" i="8"/>
  <c r="I294" i="8"/>
  <c r="I293" i="8"/>
  <c r="I292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I222" i="8"/>
  <c r="I221" i="8"/>
  <c r="I220" i="8"/>
  <c r="I219" i="8"/>
  <c r="I218" i="8"/>
  <c r="I217" i="8"/>
  <c r="I216" i="8"/>
  <c r="I215" i="8"/>
  <c r="I214" i="8"/>
  <c r="I213" i="8"/>
  <c r="I212" i="8"/>
  <c r="I211" i="8"/>
  <c r="I210" i="8"/>
  <c r="I209" i="8"/>
  <c r="I208" i="8"/>
  <c r="I207" i="8"/>
  <c r="I206" i="8"/>
  <c r="I205" i="8"/>
  <c r="I204" i="8"/>
  <c r="I203" i="8"/>
  <c r="I202" i="8"/>
  <c r="I201" i="8"/>
  <c r="I200" i="8"/>
  <c r="I199" i="8"/>
  <c r="I198" i="8"/>
  <c r="I197" i="8"/>
  <c r="I196" i="8"/>
  <c r="I195" i="8"/>
  <c r="I194" i="8"/>
  <c r="I193" i="8"/>
  <c r="I192" i="8"/>
  <c r="I191" i="8"/>
  <c r="I190" i="8"/>
  <c r="I189" i="8"/>
  <c r="I188" i="8"/>
  <c r="I187" i="8"/>
  <c r="I186" i="8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I171" i="8"/>
  <c r="I170" i="8"/>
  <c r="I169" i="8"/>
  <c r="I168" i="8"/>
  <c r="I167" i="8"/>
  <c r="I166" i="8"/>
  <c r="I165" i="8"/>
  <c r="I164" i="8"/>
  <c r="I163" i="8"/>
  <c r="I162" i="8"/>
  <c r="I161" i="8"/>
  <c r="I160" i="8"/>
  <c r="I159" i="8"/>
  <c r="I158" i="8"/>
  <c r="I157" i="8"/>
  <c r="I156" i="8"/>
  <c r="I155" i="8"/>
  <c r="I154" i="8"/>
  <c r="I153" i="8"/>
  <c r="I152" i="8"/>
  <c r="I151" i="8"/>
  <c r="I150" i="8"/>
  <c r="I149" i="8"/>
  <c r="I148" i="8"/>
  <c r="I147" i="8"/>
  <c r="I146" i="8"/>
  <c r="I145" i="8"/>
  <c r="I144" i="8"/>
  <c r="I143" i="8"/>
  <c r="I142" i="8"/>
  <c r="I141" i="8"/>
  <c r="I140" i="8"/>
  <c r="I139" i="8"/>
  <c r="I138" i="8"/>
  <c r="I137" i="8"/>
  <c r="I136" i="8"/>
  <c r="I135" i="8"/>
  <c r="I134" i="8"/>
  <c r="I133" i="8"/>
  <c r="I132" i="8"/>
  <c r="I131" i="8"/>
  <c r="I130" i="8"/>
  <c r="I129" i="8"/>
  <c r="I128" i="8"/>
  <c r="I127" i="8"/>
  <c r="I126" i="8"/>
  <c r="I125" i="8"/>
  <c r="I124" i="8"/>
  <c r="I123" i="8"/>
  <c r="I122" i="8"/>
  <c r="I121" i="8"/>
  <c r="I120" i="8"/>
  <c r="I119" i="8"/>
  <c r="I118" i="8"/>
  <c r="I117" i="8"/>
  <c r="I116" i="8"/>
  <c r="I115" i="8"/>
  <c r="I114" i="8"/>
  <c r="I113" i="8"/>
  <c r="I112" i="8"/>
  <c r="I111" i="8"/>
  <c r="I110" i="8"/>
  <c r="I109" i="8"/>
  <c r="I108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41" i="8"/>
  <c r="I40" i="8"/>
  <c r="I39" i="8"/>
  <c r="I38" i="8"/>
  <c r="I37" i="8"/>
  <c r="I36" i="8"/>
  <c r="I35" i="8"/>
  <c r="I34" i="8"/>
  <c r="I33" i="8"/>
  <c r="I32" i="8"/>
  <c r="I31" i="8"/>
  <c r="I30" i="8"/>
  <c r="I29" i="8"/>
  <c r="I28" i="8"/>
  <c r="M7" i="8" s="1"/>
  <c r="O7" i="8" s="1"/>
  <c r="B29" i="4" s="1"/>
  <c r="I27" i="8"/>
  <c r="I26" i="8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205" i="7"/>
  <c r="C205" i="5" s="1"/>
  <c r="I204" i="7"/>
  <c r="I203" i="7"/>
  <c r="I202" i="7"/>
  <c r="I201" i="7"/>
  <c r="I200" i="7"/>
  <c r="I199" i="7"/>
  <c r="C199" i="5" s="1"/>
  <c r="I198" i="7"/>
  <c r="I197" i="7"/>
  <c r="C197" i="5" s="1"/>
  <c r="I196" i="7"/>
  <c r="I195" i="7"/>
  <c r="I194" i="7"/>
  <c r="I193" i="7"/>
  <c r="I192" i="7"/>
  <c r="I191" i="7"/>
  <c r="I190" i="7"/>
  <c r="C190" i="5" s="1"/>
  <c r="I189" i="7"/>
  <c r="C189" i="5" s="1"/>
  <c r="I188" i="7"/>
  <c r="I187" i="7"/>
  <c r="I186" i="7"/>
  <c r="I185" i="7"/>
  <c r="I184" i="7"/>
  <c r="I183" i="7"/>
  <c r="I182" i="7"/>
  <c r="C182" i="5" s="1"/>
  <c r="I181" i="7"/>
  <c r="C181" i="5" s="1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C167" i="5" s="1"/>
  <c r="I166" i="7"/>
  <c r="C166" i="5" s="1"/>
  <c r="I165" i="7"/>
  <c r="I164" i="7"/>
  <c r="I163" i="7"/>
  <c r="I162" i="7"/>
  <c r="I161" i="7"/>
  <c r="I160" i="7"/>
  <c r="I159" i="7"/>
  <c r="I158" i="7"/>
  <c r="C158" i="5" s="1"/>
  <c r="I157" i="7"/>
  <c r="C157" i="5" s="1"/>
  <c r="D157" i="5" s="1"/>
  <c r="I156" i="7"/>
  <c r="I155" i="7"/>
  <c r="I154" i="7"/>
  <c r="I153" i="7"/>
  <c r="I152" i="7"/>
  <c r="I151" i="7"/>
  <c r="C151" i="5" s="1"/>
  <c r="I150" i="7"/>
  <c r="I149" i="7"/>
  <c r="C149" i="5" s="1"/>
  <c r="T149" i="5" s="1"/>
  <c r="I148" i="7"/>
  <c r="I147" i="7"/>
  <c r="I146" i="7"/>
  <c r="I145" i="7"/>
  <c r="I144" i="7"/>
  <c r="I143" i="7"/>
  <c r="I142" i="7"/>
  <c r="C142" i="5" s="1"/>
  <c r="I141" i="7"/>
  <c r="I140" i="7"/>
  <c r="I139" i="7"/>
  <c r="I138" i="7"/>
  <c r="I137" i="7"/>
  <c r="I136" i="7"/>
  <c r="I135" i="7"/>
  <c r="I134" i="7"/>
  <c r="C134" i="5" s="1"/>
  <c r="I133" i="7"/>
  <c r="C133" i="5" s="1"/>
  <c r="I132" i="7"/>
  <c r="I131" i="7"/>
  <c r="I130" i="7"/>
  <c r="I129" i="7"/>
  <c r="I128" i="7"/>
  <c r="I127" i="7"/>
  <c r="C127" i="5" s="1"/>
  <c r="I126" i="7"/>
  <c r="I125" i="7"/>
  <c r="I124" i="7"/>
  <c r="I123" i="7"/>
  <c r="I122" i="7"/>
  <c r="I121" i="7"/>
  <c r="I120" i="7"/>
  <c r="I119" i="7"/>
  <c r="C119" i="5" s="1"/>
  <c r="I118" i="7"/>
  <c r="C118" i="5" s="1"/>
  <c r="I117" i="7"/>
  <c r="I116" i="7"/>
  <c r="I115" i="7"/>
  <c r="I114" i="7"/>
  <c r="I113" i="7"/>
  <c r="I112" i="7"/>
  <c r="I111" i="7"/>
  <c r="I110" i="7"/>
  <c r="C110" i="5" s="1"/>
  <c r="I109" i="7"/>
  <c r="C109" i="5" s="1"/>
  <c r="D109" i="5" s="1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A605" i="6"/>
  <c r="A534" i="6"/>
  <c r="A481" i="6"/>
  <c r="A456" i="6"/>
  <c r="A432" i="6"/>
  <c r="A428" i="6"/>
  <c r="E428" i="6" s="1"/>
  <c r="A425" i="6"/>
  <c r="A402" i="6"/>
  <c r="F402" i="6" s="1"/>
  <c r="A383" i="6"/>
  <c r="B383" i="6" s="1"/>
  <c r="A335" i="6"/>
  <c r="B330" i="6"/>
  <c r="A330" i="6"/>
  <c r="N205" i="5"/>
  <c r="L205" i="5"/>
  <c r="A205" i="5"/>
  <c r="B205" i="5" s="1"/>
  <c r="C204" i="5"/>
  <c r="A204" i="5"/>
  <c r="B204" i="5" s="1"/>
  <c r="T203" i="5"/>
  <c r="S203" i="5"/>
  <c r="Q203" i="5"/>
  <c r="P203" i="5"/>
  <c r="L203" i="5"/>
  <c r="I203" i="5"/>
  <c r="F203" i="5"/>
  <c r="C203" i="5"/>
  <c r="B203" i="5"/>
  <c r="A203" i="5"/>
  <c r="T202" i="5"/>
  <c r="Q202" i="5"/>
  <c r="P202" i="5"/>
  <c r="L202" i="5"/>
  <c r="C202" i="5"/>
  <c r="A202" i="5"/>
  <c r="B202" i="5" s="1"/>
  <c r="X201" i="5"/>
  <c r="V201" i="5"/>
  <c r="T201" i="5"/>
  <c r="C201" i="5"/>
  <c r="A201" i="5"/>
  <c r="B201" i="5" s="1"/>
  <c r="R200" i="5"/>
  <c r="J200" i="5"/>
  <c r="C200" i="5"/>
  <c r="Q200" i="5" s="1"/>
  <c r="A200" i="5"/>
  <c r="B200" i="5" s="1"/>
  <c r="A199" i="5"/>
  <c r="B199" i="5" s="1"/>
  <c r="R198" i="5"/>
  <c r="C198" i="5"/>
  <c r="Q198" i="5" s="1"/>
  <c r="B198" i="5"/>
  <c r="A198" i="5"/>
  <c r="B197" i="5"/>
  <c r="A197" i="5"/>
  <c r="X196" i="5"/>
  <c r="Q196" i="5"/>
  <c r="P196" i="5"/>
  <c r="N196" i="5"/>
  <c r="L196" i="5"/>
  <c r="J196" i="5"/>
  <c r="H196" i="5"/>
  <c r="C196" i="5"/>
  <c r="A196" i="5"/>
  <c r="B196" i="5" s="1"/>
  <c r="T195" i="5"/>
  <c r="C195" i="5"/>
  <c r="R195" i="5" s="1"/>
  <c r="A195" i="5"/>
  <c r="B195" i="5" s="1"/>
  <c r="X194" i="5"/>
  <c r="V194" i="5"/>
  <c r="T194" i="5"/>
  <c r="S194" i="5"/>
  <c r="R194" i="5"/>
  <c r="Q194" i="5"/>
  <c r="L194" i="5"/>
  <c r="K194" i="5"/>
  <c r="J194" i="5"/>
  <c r="I194" i="5"/>
  <c r="H194" i="5"/>
  <c r="F194" i="5"/>
  <c r="D194" i="5"/>
  <c r="C194" i="5"/>
  <c r="P194" i="5" s="1"/>
  <c r="A194" i="5"/>
  <c r="B194" i="5" s="1"/>
  <c r="V193" i="5"/>
  <c r="T193" i="5"/>
  <c r="N193" i="5"/>
  <c r="L193" i="5"/>
  <c r="K193" i="5"/>
  <c r="D193" i="5"/>
  <c r="C193" i="5"/>
  <c r="A193" i="5"/>
  <c r="B193" i="5" s="1"/>
  <c r="X192" i="5"/>
  <c r="T192" i="5"/>
  <c r="H192" i="5"/>
  <c r="C192" i="5"/>
  <c r="A192" i="5"/>
  <c r="B192" i="5" s="1"/>
  <c r="S191" i="5"/>
  <c r="R191" i="5"/>
  <c r="Q191" i="5"/>
  <c r="L191" i="5"/>
  <c r="C191" i="5"/>
  <c r="A191" i="5"/>
  <c r="B191" i="5" s="1"/>
  <c r="X190" i="5"/>
  <c r="T190" i="5"/>
  <c r="R190" i="5"/>
  <c r="H190" i="5"/>
  <c r="D190" i="5"/>
  <c r="B190" i="5"/>
  <c r="A190" i="5"/>
  <c r="A189" i="5"/>
  <c r="B189" i="5" s="1"/>
  <c r="C188" i="5"/>
  <c r="P188" i="5" s="1"/>
  <c r="B188" i="5"/>
  <c r="A188" i="5"/>
  <c r="X187" i="5"/>
  <c r="R187" i="5"/>
  <c r="Q187" i="5"/>
  <c r="P187" i="5"/>
  <c r="L187" i="5"/>
  <c r="J187" i="5"/>
  <c r="F187" i="5"/>
  <c r="C187" i="5"/>
  <c r="B187" i="5"/>
  <c r="A187" i="5"/>
  <c r="X186" i="5"/>
  <c r="V186" i="5"/>
  <c r="R186" i="5"/>
  <c r="P186" i="5"/>
  <c r="L186" i="5"/>
  <c r="K186" i="5"/>
  <c r="J186" i="5"/>
  <c r="H186" i="5"/>
  <c r="D186" i="5"/>
  <c r="C186" i="5"/>
  <c r="A186" i="5"/>
  <c r="B186" i="5" s="1"/>
  <c r="X185" i="5"/>
  <c r="T185" i="5"/>
  <c r="N185" i="5"/>
  <c r="L185" i="5"/>
  <c r="K185" i="5"/>
  <c r="J185" i="5"/>
  <c r="H185" i="5"/>
  <c r="D185" i="5"/>
  <c r="C185" i="5"/>
  <c r="P185" i="5" s="1"/>
  <c r="A185" i="5"/>
  <c r="B185" i="5" s="1"/>
  <c r="C184" i="5"/>
  <c r="B184" i="5"/>
  <c r="A184" i="5"/>
  <c r="C183" i="5"/>
  <c r="A183" i="5"/>
  <c r="B183" i="5" s="1"/>
  <c r="P182" i="5"/>
  <c r="J182" i="5"/>
  <c r="I182" i="5"/>
  <c r="H182" i="5"/>
  <c r="B182" i="5"/>
  <c r="A182" i="5"/>
  <c r="A181" i="5"/>
  <c r="B181" i="5" s="1"/>
  <c r="Q180" i="5"/>
  <c r="P180" i="5"/>
  <c r="N180" i="5"/>
  <c r="L180" i="5"/>
  <c r="J180" i="5"/>
  <c r="H180" i="5"/>
  <c r="C180" i="5"/>
  <c r="X180" i="5" s="1"/>
  <c r="A180" i="5"/>
  <c r="B180" i="5" s="1"/>
  <c r="S179" i="5"/>
  <c r="R179" i="5"/>
  <c r="Q179" i="5"/>
  <c r="P179" i="5"/>
  <c r="I179" i="5"/>
  <c r="D179" i="5"/>
  <c r="C179" i="5"/>
  <c r="B179" i="5"/>
  <c r="A179" i="5"/>
  <c r="C178" i="5"/>
  <c r="R178" i="5" s="1"/>
  <c r="A178" i="5"/>
  <c r="B178" i="5" s="1"/>
  <c r="C177" i="5"/>
  <c r="T177" i="5" s="1"/>
  <c r="A177" i="5"/>
  <c r="B177" i="5" s="1"/>
  <c r="X176" i="5"/>
  <c r="C176" i="5"/>
  <c r="D176" i="5" s="1"/>
  <c r="A176" i="5"/>
  <c r="B176" i="5" s="1"/>
  <c r="S175" i="5"/>
  <c r="R175" i="5"/>
  <c r="P175" i="5"/>
  <c r="C175" i="5"/>
  <c r="A175" i="5"/>
  <c r="B175" i="5" s="1"/>
  <c r="T174" i="5"/>
  <c r="F174" i="5"/>
  <c r="D174" i="5"/>
  <c r="C174" i="5"/>
  <c r="B174" i="5"/>
  <c r="A174" i="5"/>
  <c r="C173" i="5"/>
  <c r="R173" i="5" s="1"/>
  <c r="A173" i="5"/>
  <c r="B173" i="5" s="1"/>
  <c r="X172" i="5"/>
  <c r="C172" i="5"/>
  <c r="A172" i="5"/>
  <c r="B172" i="5" s="1"/>
  <c r="T171" i="5"/>
  <c r="S171" i="5"/>
  <c r="Q171" i="5"/>
  <c r="L171" i="5"/>
  <c r="I171" i="5"/>
  <c r="F171" i="5"/>
  <c r="C171" i="5"/>
  <c r="B171" i="5"/>
  <c r="A171" i="5"/>
  <c r="C170" i="5"/>
  <c r="S170" i="5" s="1"/>
  <c r="B170" i="5"/>
  <c r="A170" i="5"/>
  <c r="V169" i="5"/>
  <c r="T169" i="5"/>
  <c r="L169" i="5"/>
  <c r="K169" i="5"/>
  <c r="J169" i="5"/>
  <c r="H169" i="5"/>
  <c r="D169" i="5"/>
  <c r="C169" i="5"/>
  <c r="A169" i="5"/>
  <c r="B169" i="5" s="1"/>
  <c r="C168" i="5"/>
  <c r="A168" i="5"/>
  <c r="B168" i="5" s="1"/>
  <c r="S167" i="5"/>
  <c r="P167" i="5"/>
  <c r="J167" i="5"/>
  <c r="I167" i="5"/>
  <c r="D167" i="5"/>
  <c r="B167" i="5"/>
  <c r="A167" i="5"/>
  <c r="A166" i="5"/>
  <c r="B166" i="5" s="1"/>
  <c r="C165" i="5"/>
  <c r="T165" i="5" s="1"/>
  <c r="A165" i="5"/>
  <c r="B165" i="5" s="1"/>
  <c r="Q164" i="5"/>
  <c r="C164" i="5"/>
  <c r="B164" i="5"/>
  <c r="A164" i="5"/>
  <c r="X163" i="5"/>
  <c r="C163" i="5"/>
  <c r="B163" i="5"/>
  <c r="A163" i="5"/>
  <c r="X162" i="5"/>
  <c r="V162" i="5"/>
  <c r="R162" i="5"/>
  <c r="P162" i="5"/>
  <c r="L162" i="5"/>
  <c r="K162" i="5"/>
  <c r="J162" i="5"/>
  <c r="I162" i="5"/>
  <c r="D162" i="5"/>
  <c r="C162" i="5"/>
  <c r="A162" i="5"/>
  <c r="B162" i="5" s="1"/>
  <c r="C161" i="5"/>
  <c r="D161" i="5" s="1"/>
  <c r="A161" i="5"/>
  <c r="B161" i="5" s="1"/>
  <c r="C160" i="5"/>
  <c r="A468" i="6" s="1"/>
  <c r="E468" i="6" s="1"/>
  <c r="A160" i="5"/>
  <c r="B160" i="5" s="1"/>
  <c r="C159" i="5"/>
  <c r="T159" i="5" s="1"/>
  <c r="B159" i="5"/>
  <c r="A159" i="5"/>
  <c r="A158" i="5"/>
  <c r="B158" i="5" s="1"/>
  <c r="T157" i="5"/>
  <c r="R157" i="5"/>
  <c r="A157" i="5"/>
  <c r="B157" i="5" s="1"/>
  <c r="Q156" i="5"/>
  <c r="P156" i="5"/>
  <c r="N156" i="5"/>
  <c r="L156" i="5"/>
  <c r="J156" i="5"/>
  <c r="H156" i="5"/>
  <c r="C156" i="5"/>
  <c r="B156" i="5"/>
  <c r="A156" i="5"/>
  <c r="R155" i="5"/>
  <c r="Q155" i="5"/>
  <c r="J155" i="5"/>
  <c r="H155" i="5"/>
  <c r="F155" i="5"/>
  <c r="C155" i="5"/>
  <c r="S155" i="5" s="1"/>
  <c r="A155" i="5"/>
  <c r="B155" i="5" s="1"/>
  <c r="X154" i="5"/>
  <c r="V154" i="5"/>
  <c r="T154" i="5"/>
  <c r="S154" i="5"/>
  <c r="R154" i="5"/>
  <c r="Q154" i="5"/>
  <c r="L154" i="5"/>
  <c r="K154" i="5"/>
  <c r="J154" i="5"/>
  <c r="I154" i="5"/>
  <c r="H154" i="5"/>
  <c r="F154" i="5"/>
  <c r="D154" i="5"/>
  <c r="C154" i="5"/>
  <c r="P154" i="5" s="1"/>
  <c r="A154" i="5"/>
  <c r="B154" i="5" s="1"/>
  <c r="C153" i="5"/>
  <c r="V153" i="5" s="1"/>
  <c r="A153" i="5"/>
  <c r="B153" i="5" s="1"/>
  <c r="Q152" i="5"/>
  <c r="P152" i="5"/>
  <c r="J152" i="5"/>
  <c r="C152" i="5"/>
  <c r="A444" i="6" s="1"/>
  <c r="A152" i="5"/>
  <c r="B152" i="5" s="1"/>
  <c r="A151" i="5"/>
  <c r="B151" i="5" s="1"/>
  <c r="T150" i="5"/>
  <c r="C150" i="5"/>
  <c r="Q150" i="5" s="1"/>
  <c r="A150" i="5"/>
  <c r="B150" i="5" s="1"/>
  <c r="V149" i="5"/>
  <c r="A149" i="5"/>
  <c r="B149" i="5" s="1"/>
  <c r="Q148" i="5"/>
  <c r="P148" i="5"/>
  <c r="N148" i="5"/>
  <c r="L148" i="5"/>
  <c r="J148" i="5"/>
  <c r="C148" i="5"/>
  <c r="X148" i="5" s="1"/>
  <c r="A148" i="5"/>
  <c r="B148" i="5" s="1"/>
  <c r="S147" i="5"/>
  <c r="R147" i="5"/>
  <c r="Q147" i="5"/>
  <c r="L147" i="5"/>
  <c r="I147" i="5"/>
  <c r="D147" i="5"/>
  <c r="C147" i="5"/>
  <c r="A147" i="5"/>
  <c r="B147" i="5" s="1"/>
  <c r="X146" i="5"/>
  <c r="V146" i="5"/>
  <c r="T146" i="5"/>
  <c r="S146" i="5"/>
  <c r="R146" i="5"/>
  <c r="Q146" i="5"/>
  <c r="L146" i="5"/>
  <c r="K146" i="5"/>
  <c r="J146" i="5"/>
  <c r="I146" i="5"/>
  <c r="H146" i="5"/>
  <c r="F146" i="5"/>
  <c r="D146" i="5"/>
  <c r="C146" i="5"/>
  <c r="P146" i="5" s="1"/>
  <c r="A146" i="5"/>
  <c r="B146" i="5" s="1"/>
  <c r="X145" i="5"/>
  <c r="V145" i="5"/>
  <c r="J145" i="5"/>
  <c r="C145" i="5"/>
  <c r="T145" i="5" s="1"/>
  <c r="A145" i="5"/>
  <c r="B145" i="5" s="1"/>
  <c r="C144" i="5"/>
  <c r="Q144" i="5" s="1"/>
  <c r="A144" i="5"/>
  <c r="B144" i="5" s="1"/>
  <c r="R143" i="5"/>
  <c r="C143" i="5"/>
  <c r="L143" i="5" s="1"/>
  <c r="B143" i="5"/>
  <c r="A143" i="5"/>
  <c r="A142" i="5"/>
  <c r="B142" i="5" s="1"/>
  <c r="C141" i="5"/>
  <c r="D141" i="5" s="1"/>
  <c r="A141" i="5"/>
  <c r="B141" i="5" s="1"/>
  <c r="Q140" i="5"/>
  <c r="P140" i="5"/>
  <c r="L140" i="5"/>
  <c r="C140" i="5"/>
  <c r="N140" i="5" s="1"/>
  <c r="A140" i="5"/>
  <c r="B140" i="5" s="1"/>
  <c r="X139" i="5"/>
  <c r="H139" i="5"/>
  <c r="F139" i="5"/>
  <c r="C139" i="5"/>
  <c r="A139" i="5"/>
  <c r="B139" i="5" s="1"/>
  <c r="X138" i="5"/>
  <c r="V138" i="5"/>
  <c r="T138" i="5"/>
  <c r="S138" i="5"/>
  <c r="Q138" i="5"/>
  <c r="L138" i="5"/>
  <c r="K138" i="5"/>
  <c r="J138" i="5"/>
  <c r="I138" i="5"/>
  <c r="H138" i="5"/>
  <c r="D138" i="5"/>
  <c r="C138" i="5"/>
  <c r="R138" i="5" s="1"/>
  <c r="A138" i="5"/>
  <c r="B138" i="5" s="1"/>
  <c r="C137" i="5"/>
  <c r="D137" i="5" s="1"/>
  <c r="A137" i="5"/>
  <c r="B137" i="5" s="1"/>
  <c r="N136" i="5"/>
  <c r="C136" i="5"/>
  <c r="A136" i="5"/>
  <c r="B136" i="5" s="1"/>
  <c r="S135" i="5"/>
  <c r="C135" i="5"/>
  <c r="L135" i="5" s="1"/>
  <c r="B135" i="5"/>
  <c r="A135" i="5"/>
  <c r="A134" i="5"/>
  <c r="B134" i="5" s="1"/>
  <c r="A133" i="5"/>
  <c r="B133" i="5" s="1"/>
  <c r="C132" i="5"/>
  <c r="A385" i="6" s="1"/>
  <c r="B132" i="5"/>
  <c r="A132" i="5"/>
  <c r="Q131" i="5"/>
  <c r="P131" i="5"/>
  <c r="L131" i="5"/>
  <c r="J131" i="5"/>
  <c r="I131" i="5"/>
  <c r="C131" i="5"/>
  <c r="S131" i="5" s="1"/>
  <c r="A131" i="5"/>
  <c r="B131" i="5" s="1"/>
  <c r="S130" i="5"/>
  <c r="C130" i="5"/>
  <c r="V130" i="5" s="1"/>
  <c r="B130" i="5"/>
  <c r="A130" i="5"/>
  <c r="J129" i="5"/>
  <c r="H129" i="5"/>
  <c r="C129" i="5"/>
  <c r="R129" i="5" s="1"/>
  <c r="A129" i="5"/>
  <c r="B129" i="5" s="1"/>
  <c r="C128" i="5"/>
  <c r="T128" i="5" s="1"/>
  <c r="A128" i="5"/>
  <c r="B128" i="5" s="1"/>
  <c r="B127" i="5"/>
  <c r="A127" i="5"/>
  <c r="T126" i="5"/>
  <c r="R126" i="5"/>
  <c r="F126" i="5"/>
  <c r="D126" i="5"/>
  <c r="C126" i="5"/>
  <c r="A126" i="5"/>
  <c r="B126" i="5" s="1"/>
  <c r="C125" i="5"/>
  <c r="L125" i="5" s="1"/>
  <c r="B125" i="5"/>
  <c r="A125" i="5"/>
  <c r="C124" i="5"/>
  <c r="Q124" i="5" s="1"/>
  <c r="A124" i="5"/>
  <c r="B124" i="5" s="1"/>
  <c r="X123" i="5"/>
  <c r="P123" i="5"/>
  <c r="L123" i="5"/>
  <c r="J123" i="5"/>
  <c r="I123" i="5"/>
  <c r="H123" i="5"/>
  <c r="C123" i="5"/>
  <c r="Q123" i="5" s="1"/>
  <c r="A123" i="5"/>
  <c r="B123" i="5" s="1"/>
  <c r="X122" i="5"/>
  <c r="V122" i="5"/>
  <c r="T122" i="5"/>
  <c r="S122" i="5"/>
  <c r="P122" i="5"/>
  <c r="L122" i="5"/>
  <c r="K122" i="5"/>
  <c r="J122" i="5"/>
  <c r="I122" i="5"/>
  <c r="H122" i="5"/>
  <c r="D122" i="5"/>
  <c r="C122" i="5"/>
  <c r="A122" i="5"/>
  <c r="B122" i="5" s="1"/>
  <c r="N121" i="5"/>
  <c r="L121" i="5"/>
  <c r="K121" i="5"/>
  <c r="J121" i="5"/>
  <c r="C121" i="5"/>
  <c r="V121" i="5" s="1"/>
  <c r="A121" i="5"/>
  <c r="B121" i="5" s="1"/>
  <c r="C120" i="5"/>
  <c r="X120" i="5" s="1"/>
  <c r="B120" i="5"/>
  <c r="A120" i="5"/>
  <c r="A119" i="5"/>
  <c r="B119" i="5" s="1"/>
  <c r="B118" i="5"/>
  <c r="A118" i="5"/>
  <c r="P117" i="5"/>
  <c r="N117" i="5"/>
  <c r="C117" i="5"/>
  <c r="T117" i="5" s="1"/>
  <c r="A117" i="5"/>
  <c r="B117" i="5" s="1"/>
  <c r="C116" i="5"/>
  <c r="Q116" i="5" s="1"/>
  <c r="A116" i="5"/>
  <c r="B116" i="5" s="1"/>
  <c r="X115" i="5"/>
  <c r="P115" i="5"/>
  <c r="L115" i="5"/>
  <c r="J115" i="5"/>
  <c r="I115" i="5"/>
  <c r="H115" i="5"/>
  <c r="C115" i="5"/>
  <c r="S115" i="5" s="1"/>
  <c r="A115" i="5"/>
  <c r="B115" i="5" s="1"/>
  <c r="X114" i="5"/>
  <c r="V114" i="5"/>
  <c r="T114" i="5"/>
  <c r="S114" i="5"/>
  <c r="P114" i="5"/>
  <c r="L114" i="5"/>
  <c r="K114" i="5"/>
  <c r="J114" i="5"/>
  <c r="I114" i="5"/>
  <c r="H114" i="5"/>
  <c r="D114" i="5"/>
  <c r="C114" i="5"/>
  <c r="B114" i="5"/>
  <c r="A114" i="5"/>
  <c r="V113" i="5"/>
  <c r="R113" i="5"/>
  <c r="N113" i="5"/>
  <c r="K113" i="5"/>
  <c r="D113" i="5"/>
  <c r="C113" i="5"/>
  <c r="L113" i="5" s="1"/>
  <c r="A113" i="5"/>
  <c r="B113" i="5" s="1"/>
  <c r="X112" i="5"/>
  <c r="T112" i="5"/>
  <c r="R112" i="5"/>
  <c r="C112" i="5"/>
  <c r="D112" i="5" s="1"/>
  <c r="B112" i="5"/>
  <c r="A112" i="5"/>
  <c r="Q111" i="5"/>
  <c r="L111" i="5"/>
  <c r="J111" i="5"/>
  <c r="I111" i="5"/>
  <c r="C111" i="5"/>
  <c r="A111" i="5"/>
  <c r="B111" i="5" s="1"/>
  <c r="X110" i="5"/>
  <c r="V110" i="5"/>
  <c r="T110" i="5"/>
  <c r="K110" i="5"/>
  <c r="J110" i="5"/>
  <c r="I110" i="5"/>
  <c r="H110" i="5"/>
  <c r="A110" i="5"/>
  <c r="B110" i="5" s="1"/>
  <c r="R109" i="5"/>
  <c r="P109" i="5"/>
  <c r="N109" i="5"/>
  <c r="L109" i="5"/>
  <c r="A109" i="5"/>
  <c r="B109" i="5" s="1"/>
  <c r="C108" i="5"/>
  <c r="A108" i="5"/>
  <c r="B108" i="5" s="1"/>
  <c r="X107" i="5"/>
  <c r="T107" i="5"/>
  <c r="H107" i="5"/>
  <c r="F107" i="5"/>
  <c r="C107" i="5"/>
  <c r="A107" i="5"/>
  <c r="B107" i="5" s="1"/>
  <c r="C106" i="5"/>
  <c r="P106" i="5" s="1"/>
  <c r="A106" i="5"/>
  <c r="B106" i="5" s="1"/>
  <c r="A105" i="5"/>
  <c r="B105" i="5" s="1"/>
  <c r="B104" i="5"/>
  <c r="A104" i="5"/>
  <c r="B103" i="5"/>
  <c r="A103" i="5"/>
  <c r="A102" i="5"/>
  <c r="B102" i="5" s="1"/>
  <c r="A101" i="5"/>
  <c r="B100" i="5"/>
  <c r="A100" i="5"/>
  <c r="B99" i="5"/>
  <c r="A99" i="5"/>
  <c r="B98" i="5"/>
  <c r="A98" i="5"/>
  <c r="A97" i="5"/>
  <c r="B97" i="5" s="1"/>
  <c r="B96" i="5"/>
  <c r="A96" i="5"/>
  <c r="B95" i="5"/>
  <c r="A95" i="5"/>
  <c r="B94" i="5"/>
  <c r="A94" i="5"/>
  <c r="A93" i="5"/>
  <c r="B93" i="5" s="1"/>
  <c r="B92" i="5"/>
  <c r="A92" i="5"/>
  <c r="B91" i="5"/>
  <c r="A91" i="5"/>
  <c r="B90" i="5"/>
  <c r="A90" i="5"/>
  <c r="A89" i="5"/>
  <c r="B89" i="5" s="1"/>
  <c r="B88" i="5"/>
  <c r="A88" i="5"/>
  <c r="B87" i="5"/>
  <c r="A87" i="5"/>
  <c r="B86" i="5"/>
  <c r="A86" i="5"/>
  <c r="A85" i="5"/>
  <c r="B85" i="5" s="1"/>
  <c r="B84" i="5"/>
  <c r="A84" i="5"/>
  <c r="B83" i="5"/>
  <c r="A83" i="5"/>
  <c r="B82" i="5"/>
  <c r="A82" i="5"/>
  <c r="A81" i="5"/>
  <c r="B81" i="5" s="1"/>
  <c r="B80" i="5"/>
  <c r="A80" i="5"/>
  <c r="B79" i="5"/>
  <c r="A79" i="5"/>
  <c r="B78" i="5"/>
  <c r="A78" i="5"/>
  <c r="A77" i="5"/>
  <c r="B77" i="5" s="1"/>
  <c r="B76" i="5"/>
  <c r="A76" i="5"/>
  <c r="B75" i="5"/>
  <c r="A75" i="5"/>
  <c r="B74" i="5"/>
  <c r="A74" i="5"/>
  <c r="A73" i="5"/>
  <c r="B73" i="5" s="1"/>
  <c r="B72" i="5"/>
  <c r="A72" i="5"/>
  <c r="B71" i="5"/>
  <c r="A71" i="5"/>
  <c r="B70" i="5"/>
  <c r="A70" i="5"/>
  <c r="A69" i="5"/>
  <c r="B69" i="5" s="1"/>
  <c r="B68" i="5"/>
  <c r="A68" i="5"/>
  <c r="B67" i="5"/>
  <c r="A67" i="5"/>
  <c r="B66" i="5"/>
  <c r="A66" i="5"/>
  <c r="A65" i="5"/>
  <c r="B65" i="5" s="1"/>
  <c r="B64" i="5"/>
  <c r="A64" i="5"/>
  <c r="B63" i="5"/>
  <c r="A63" i="5"/>
  <c r="B62" i="5"/>
  <c r="A62" i="5"/>
  <c r="A61" i="5"/>
  <c r="B61" i="5" s="1"/>
  <c r="B60" i="5"/>
  <c r="A60" i="5"/>
  <c r="B59" i="5"/>
  <c r="A59" i="5"/>
  <c r="B58" i="5"/>
  <c r="A58" i="5"/>
  <c r="A57" i="5"/>
  <c r="B57" i="5" s="1"/>
  <c r="B56" i="5"/>
  <c r="A56" i="5"/>
  <c r="B55" i="5"/>
  <c r="A55" i="5"/>
  <c r="B54" i="5"/>
  <c r="A54" i="5"/>
  <c r="A53" i="5"/>
  <c r="B53" i="5" s="1"/>
  <c r="B52" i="5"/>
  <c r="A52" i="5"/>
  <c r="B51" i="5"/>
  <c r="A51" i="5"/>
  <c r="B50" i="5"/>
  <c r="A50" i="5"/>
  <c r="A49" i="5"/>
  <c r="B49" i="5" s="1"/>
  <c r="B48" i="5"/>
  <c r="A48" i="5"/>
  <c r="B47" i="5"/>
  <c r="A47" i="5"/>
  <c r="B46" i="5"/>
  <c r="A46" i="5"/>
  <c r="A45" i="5"/>
  <c r="B45" i="5" s="1"/>
  <c r="B44" i="5"/>
  <c r="A44" i="5"/>
  <c r="B43" i="5"/>
  <c r="A43" i="5"/>
  <c r="A42" i="5"/>
  <c r="B42" i="5" s="1"/>
  <c r="A41" i="5"/>
  <c r="B41" i="5" s="1"/>
  <c r="A40" i="5"/>
  <c r="B40" i="5" s="1"/>
  <c r="A39" i="5"/>
  <c r="B39" i="5" s="1"/>
  <c r="A38" i="5"/>
  <c r="B38" i="5" s="1"/>
  <c r="A37" i="5"/>
  <c r="B37" i="5" s="1"/>
  <c r="A36" i="5"/>
  <c r="B36" i="5" s="1"/>
  <c r="A35" i="5"/>
  <c r="B35" i="5" s="1"/>
  <c r="A34" i="5"/>
  <c r="B34" i="5" s="1"/>
  <c r="A33" i="5"/>
  <c r="B33" i="5" s="1"/>
  <c r="A32" i="5"/>
  <c r="B32" i="5" s="1"/>
  <c r="A31" i="5"/>
  <c r="B31" i="5" s="1"/>
  <c r="A30" i="5"/>
  <c r="B30" i="5" s="1"/>
  <c r="A29" i="5"/>
  <c r="B29" i="5" s="1"/>
  <c r="A28" i="5"/>
  <c r="B28" i="5" s="1"/>
  <c r="A27" i="5"/>
  <c r="B27" i="5" s="1"/>
  <c r="A26" i="5"/>
  <c r="B26" i="5" s="1"/>
  <c r="A25" i="5"/>
  <c r="B25" i="5" s="1"/>
  <c r="A24" i="5"/>
  <c r="B24" i="5" s="1"/>
  <c r="A23" i="5"/>
  <c r="B23" i="5" s="1"/>
  <c r="A22" i="5"/>
  <c r="B22" i="5" s="1"/>
  <c r="A21" i="5"/>
  <c r="B21" i="5" s="1"/>
  <c r="A20" i="5"/>
  <c r="B20" i="5" s="1"/>
  <c r="A19" i="5"/>
  <c r="B19" i="5" s="1"/>
  <c r="A18" i="5"/>
  <c r="B18" i="5" s="1"/>
  <c r="A17" i="5"/>
  <c r="B17" i="5" s="1"/>
  <c r="A16" i="5"/>
  <c r="B16" i="5" s="1"/>
  <c r="A15" i="5"/>
  <c r="B15" i="5" s="1"/>
  <c r="A14" i="5"/>
  <c r="B14" i="5" s="1"/>
  <c r="A13" i="5"/>
  <c r="B13" i="5" s="1"/>
  <c r="A12" i="5"/>
  <c r="B12" i="5" s="1"/>
  <c r="A11" i="5"/>
  <c r="B11" i="5" s="1"/>
  <c r="A10" i="5"/>
  <c r="B10" i="5" s="1"/>
  <c r="A9" i="5"/>
  <c r="B9" i="5" s="1"/>
  <c r="A8" i="5"/>
  <c r="B8" i="5" s="1"/>
  <c r="A7" i="5"/>
  <c r="B7" i="5" s="1"/>
  <c r="A6" i="5"/>
  <c r="B6" i="5" s="1"/>
  <c r="B7" i="4"/>
  <c r="O37" i="2"/>
  <c r="K37" i="2"/>
  <c r="A37" i="2"/>
  <c r="K36" i="2"/>
  <c r="A36" i="2"/>
  <c r="O35" i="2"/>
  <c r="K35" i="2"/>
  <c r="A35" i="2"/>
  <c r="O34" i="2"/>
  <c r="K34" i="2"/>
  <c r="A34" i="2"/>
  <c r="O33" i="2"/>
  <c r="K33" i="2"/>
  <c r="A33" i="2"/>
  <c r="K32" i="2"/>
  <c r="A32" i="2"/>
  <c r="K31" i="2"/>
  <c r="A31" i="2"/>
  <c r="K30" i="2"/>
  <c r="A30" i="2"/>
  <c r="O30" i="2" s="1"/>
  <c r="K29" i="2"/>
  <c r="A29" i="2"/>
  <c r="K28" i="2"/>
  <c r="A28" i="2"/>
  <c r="O28" i="2" s="1"/>
  <c r="K27" i="2"/>
  <c r="A27" i="2"/>
  <c r="O26" i="2"/>
  <c r="K26" i="2"/>
  <c r="A26" i="2"/>
  <c r="K25" i="2"/>
  <c r="A25" i="2"/>
  <c r="O25" i="2" s="1"/>
  <c r="K24" i="2"/>
  <c r="A24" i="2"/>
  <c r="K23" i="2"/>
  <c r="A23" i="2"/>
  <c r="O22" i="2"/>
  <c r="K22" i="2"/>
  <c r="A22" i="2"/>
  <c r="K21" i="2"/>
  <c r="A21" i="2"/>
  <c r="K20" i="2"/>
  <c r="A20" i="2"/>
  <c r="O20" i="2" s="1"/>
  <c r="K19" i="2"/>
  <c r="A19" i="2"/>
  <c r="O18" i="2"/>
  <c r="K18" i="2"/>
  <c r="A18" i="2"/>
  <c r="K17" i="2"/>
  <c r="A17" i="2"/>
  <c r="O17" i="2" s="1"/>
  <c r="K16" i="2"/>
  <c r="A16" i="2"/>
  <c r="K15" i="2"/>
  <c r="A15" i="2"/>
  <c r="K14" i="2"/>
  <c r="A14" i="2"/>
  <c r="O14" i="2" s="1"/>
  <c r="K5" i="2"/>
  <c r="A388" i="6" l="1"/>
  <c r="A389" i="6"/>
  <c r="B389" i="6" s="1"/>
  <c r="P133" i="5"/>
  <c r="L133" i="5"/>
  <c r="H133" i="5"/>
  <c r="V133" i="5"/>
  <c r="N133" i="5"/>
  <c r="D133" i="5"/>
  <c r="R133" i="5"/>
  <c r="K133" i="5"/>
  <c r="V181" i="5"/>
  <c r="H181" i="5"/>
  <c r="A531" i="6"/>
  <c r="D531" i="6" s="1"/>
  <c r="T181" i="5"/>
  <c r="D181" i="5"/>
  <c r="T134" i="5"/>
  <c r="I134" i="5"/>
  <c r="R134" i="5"/>
  <c r="F134" i="5"/>
  <c r="X134" i="5"/>
  <c r="H134" i="5"/>
  <c r="D134" i="5"/>
  <c r="V134" i="5"/>
  <c r="S134" i="5"/>
  <c r="Q134" i="5"/>
  <c r="A391" i="6"/>
  <c r="P134" i="5"/>
  <c r="L134" i="5"/>
  <c r="K134" i="5"/>
  <c r="J134" i="5"/>
  <c r="T166" i="5"/>
  <c r="I166" i="5"/>
  <c r="A486" i="6"/>
  <c r="C486" i="6" s="1"/>
  <c r="R166" i="5"/>
  <c r="D166" i="5"/>
  <c r="P166" i="5"/>
  <c r="X166" i="5"/>
  <c r="F166" i="5"/>
  <c r="L166" i="5"/>
  <c r="J166" i="5"/>
  <c r="V166" i="5"/>
  <c r="S166" i="5"/>
  <c r="Q166" i="5"/>
  <c r="K166" i="5"/>
  <c r="H166" i="5"/>
  <c r="V119" i="5"/>
  <c r="J119" i="5"/>
  <c r="T119" i="5"/>
  <c r="F119" i="5"/>
  <c r="P119" i="5"/>
  <c r="L119" i="5"/>
  <c r="S119" i="5"/>
  <c r="D119" i="5"/>
  <c r="R119" i="5"/>
  <c r="Q119" i="5"/>
  <c r="A346" i="6"/>
  <c r="I119" i="5"/>
  <c r="X119" i="5"/>
  <c r="H119" i="5"/>
  <c r="V151" i="5"/>
  <c r="A442" i="6"/>
  <c r="G442" i="6" s="1"/>
  <c r="S151" i="5"/>
  <c r="F151" i="5"/>
  <c r="J151" i="5"/>
  <c r="X151" i="5"/>
  <c r="H151" i="5"/>
  <c r="I151" i="5"/>
  <c r="Q151" i="5"/>
  <c r="D151" i="5"/>
  <c r="T151" i="5"/>
  <c r="R151" i="5"/>
  <c r="P151" i="5"/>
  <c r="L151" i="5"/>
  <c r="V199" i="5"/>
  <c r="S199" i="5"/>
  <c r="F199" i="5"/>
  <c r="Q199" i="5"/>
  <c r="L199" i="5"/>
  <c r="H199" i="5"/>
  <c r="D199" i="5"/>
  <c r="X199" i="5"/>
  <c r="T199" i="5"/>
  <c r="R199" i="5"/>
  <c r="P199" i="5"/>
  <c r="I199" i="5"/>
  <c r="J199" i="5"/>
  <c r="X118" i="5"/>
  <c r="K118" i="5"/>
  <c r="A342" i="6"/>
  <c r="R118" i="5"/>
  <c r="D118" i="5"/>
  <c r="J118" i="5"/>
  <c r="H118" i="5"/>
  <c r="Q118" i="5"/>
  <c r="P118" i="5"/>
  <c r="L118" i="5"/>
  <c r="T118" i="5"/>
  <c r="V118" i="5"/>
  <c r="I118" i="5"/>
  <c r="S118" i="5"/>
  <c r="F118" i="5"/>
  <c r="A416" i="6"/>
  <c r="X142" i="5"/>
  <c r="K142" i="5"/>
  <c r="T142" i="5"/>
  <c r="I142" i="5"/>
  <c r="A415" i="6"/>
  <c r="V142" i="5"/>
  <c r="F142" i="5"/>
  <c r="S142" i="5"/>
  <c r="D142" i="5"/>
  <c r="R142" i="5"/>
  <c r="Q142" i="5"/>
  <c r="P142" i="5"/>
  <c r="L142" i="5"/>
  <c r="J142" i="5"/>
  <c r="H142" i="5"/>
  <c r="R158" i="5"/>
  <c r="F158" i="5"/>
  <c r="V158" i="5"/>
  <c r="I158" i="5"/>
  <c r="S158" i="5"/>
  <c r="D158" i="5"/>
  <c r="H158" i="5"/>
  <c r="L158" i="5"/>
  <c r="X158" i="5"/>
  <c r="T158" i="5"/>
  <c r="Q158" i="5"/>
  <c r="P158" i="5"/>
  <c r="K158" i="5"/>
  <c r="A462" i="6"/>
  <c r="J158" i="5"/>
  <c r="A371" i="6"/>
  <c r="G371" i="6" s="1"/>
  <c r="S127" i="5"/>
  <c r="F127" i="5"/>
  <c r="R127" i="5"/>
  <c r="J127" i="5"/>
  <c r="H127" i="5"/>
  <c r="Q127" i="5"/>
  <c r="P127" i="5"/>
  <c r="L127" i="5"/>
  <c r="I127" i="5"/>
  <c r="X127" i="5"/>
  <c r="T127" i="5"/>
  <c r="D127" i="5"/>
  <c r="A539" i="6"/>
  <c r="J183" i="5"/>
  <c r="S183" i="5"/>
  <c r="D183" i="5"/>
  <c r="Q183" i="5"/>
  <c r="X183" i="5"/>
  <c r="A465" i="6"/>
  <c r="D465" i="6" s="1"/>
  <c r="A523" i="6"/>
  <c r="V163" i="5"/>
  <c r="S163" i="5"/>
  <c r="F163" i="5"/>
  <c r="I163" i="5"/>
  <c r="A479" i="6"/>
  <c r="T163" i="5"/>
  <c r="D163" i="5"/>
  <c r="V107" i="5"/>
  <c r="R107" i="5"/>
  <c r="D107" i="5"/>
  <c r="S107" i="5"/>
  <c r="S126" i="5"/>
  <c r="H126" i="5"/>
  <c r="Q126" i="5"/>
  <c r="Q130" i="5"/>
  <c r="Q135" i="5"/>
  <c r="X137" i="5"/>
  <c r="V139" i="5"/>
  <c r="R139" i="5"/>
  <c r="D139" i="5"/>
  <c r="P139" i="5"/>
  <c r="T139" i="5"/>
  <c r="Q143" i="5"/>
  <c r="R163" i="5"/>
  <c r="V174" i="5"/>
  <c r="J174" i="5"/>
  <c r="L174" i="5"/>
  <c r="X174" i="5"/>
  <c r="I174" i="5"/>
  <c r="S174" i="5"/>
  <c r="T183" i="5"/>
  <c r="D189" i="5"/>
  <c r="P189" i="5"/>
  <c r="L189" i="5"/>
  <c r="D205" i="5"/>
  <c r="R205" i="5"/>
  <c r="A308" i="6"/>
  <c r="D308" i="6" s="1"/>
  <c r="R106" i="5"/>
  <c r="F106" i="5"/>
  <c r="T132" i="5"/>
  <c r="P132" i="5"/>
  <c r="R170" i="5"/>
  <c r="F170" i="5"/>
  <c r="K170" i="5"/>
  <c r="V170" i="5"/>
  <c r="I170" i="5"/>
  <c r="L178" i="5"/>
  <c r="X178" i="5"/>
  <c r="J178" i="5"/>
  <c r="T178" i="5"/>
  <c r="H178" i="5"/>
  <c r="S143" i="5"/>
  <c r="S150" i="5"/>
  <c r="H150" i="5"/>
  <c r="V150" i="5"/>
  <c r="I150" i="5"/>
  <c r="R150" i="5"/>
  <c r="D150" i="5"/>
  <c r="X150" i="5"/>
  <c r="R161" i="5"/>
  <c r="D177" i="5"/>
  <c r="V178" i="5"/>
  <c r="F183" i="5"/>
  <c r="V195" i="5"/>
  <c r="P195" i="5"/>
  <c r="S195" i="5"/>
  <c r="D195" i="5"/>
  <c r="A575" i="6"/>
  <c r="C575" i="6" s="1"/>
  <c r="Q195" i="5"/>
  <c r="X195" i="5"/>
  <c r="S198" i="5"/>
  <c r="H198" i="5"/>
  <c r="A582" i="6"/>
  <c r="H582" i="6" s="1"/>
  <c r="L198" i="5"/>
  <c r="X198" i="5"/>
  <c r="J198" i="5"/>
  <c r="T198" i="5"/>
  <c r="A318" i="6"/>
  <c r="H318" i="6" s="1"/>
  <c r="P110" i="5"/>
  <c r="A535" i="6"/>
  <c r="X182" i="5"/>
  <c r="K182" i="5"/>
  <c r="Q182" i="5"/>
  <c r="L182" i="5"/>
  <c r="P190" i="5"/>
  <c r="V190" i="5"/>
  <c r="I190" i="5"/>
  <c r="S190" i="5"/>
  <c r="F190" i="5"/>
  <c r="Q106" i="5"/>
  <c r="T130" i="5"/>
  <c r="I130" i="5"/>
  <c r="R130" i="5"/>
  <c r="F130" i="5"/>
  <c r="N137" i="5"/>
  <c r="K137" i="5"/>
  <c r="V159" i="5"/>
  <c r="R159" i="5"/>
  <c r="D159" i="5"/>
  <c r="J159" i="5"/>
  <c r="X159" i="5"/>
  <c r="H159" i="5"/>
  <c r="T170" i="5"/>
  <c r="F159" i="5"/>
  <c r="T106" i="5"/>
  <c r="V126" i="5"/>
  <c r="K141" i="5"/>
  <c r="V175" i="5"/>
  <c r="X175" i="5"/>
  <c r="I175" i="5"/>
  <c r="Q175" i="5"/>
  <c r="L175" i="5"/>
  <c r="A439" i="6"/>
  <c r="C439" i="6" s="1"/>
  <c r="V167" i="5"/>
  <c r="T167" i="5"/>
  <c r="H167" i="5"/>
  <c r="X167" i="5"/>
  <c r="F167" i="5"/>
  <c r="R167" i="5"/>
  <c r="D106" i="5"/>
  <c r="H125" i="5"/>
  <c r="X135" i="5"/>
  <c r="H160" i="5"/>
  <c r="Q160" i="5"/>
  <c r="X170" i="5"/>
  <c r="H106" i="5"/>
  <c r="I126" i="5"/>
  <c r="K129" i="5"/>
  <c r="X130" i="5"/>
  <c r="Q132" i="5"/>
  <c r="F135" i="5"/>
  <c r="I139" i="5"/>
  <c r="D143" i="5"/>
  <c r="F150" i="5"/>
  <c r="I159" i="5"/>
  <c r="F160" i="5"/>
  <c r="T161" i="5"/>
  <c r="H163" i="5"/>
  <c r="R168" i="5"/>
  <c r="Q168" i="5"/>
  <c r="H170" i="5"/>
  <c r="L173" i="5"/>
  <c r="H174" i="5"/>
  <c r="T175" i="5"/>
  <c r="J177" i="5"/>
  <c r="F178" i="5"/>
  <c r="H183" i="5"/>
  <c r="Q188" i="5"/>
  <c r="F195" i="5"/>
  <c r="D198" i="5"/>
  <c r="V198" i="5"/>
  <c r="V106" i="5"/>
  <c r="V111" i="5"/>
  <c r="P111" i="5"/>
  <c r="L116" i="5"/>
  <c r="Q120" i="5"/>
  <c r="J126" i="5"/>
  <c r="J130" i="5"/>
  <c r="I135" i="5"/>
  <c r="J137" i="5"/>
  <c r="J139" i="5"/>
  <c r="F143" i="5"/>
  <c r="J150" i="5"/>
  <c r="V157" i="5"/>
  <c r="J160" i="5"/>
  <c r="V161" i="5"/>
  <c r="J163" i="5"/>
  <c r="L164" i="5"/>
  <c r="X164" i="5"/>
  <c r="P164" i="5"/>
  <c r="V165" i="5"/>
  <c r="J170" i="5"/>
  <c r="N173" i="5"/>
  <c r="D175" i="5"/>
  <c r="K177" i="5"/>
  <c r="L159" i="5"/>
  <c r="J168" i="5"/>
  <c r="K174" i="5"/>
  <c r="I178" i="5"/>
  <c r="R182" i="5"/>
  <c r="I183" i="5"/>
  <c r="Q184" i="5"/>
  <c r="J184" i="5"/>
  <c r="J190" i="5"/>
  <c r="V191" i="5"/>
  <c r="P191" i="5"/>
  <c r="J191" i="5"/>
  <c r="X191" i="5"/>
  <c r="H191" i="5"/>
  <c r="T191" i="5"/>
  <c r="H195" i="5"/>
  <c r="F198" i="5"/>
  <c r="P201" i="5"/>
  <c r="A591" i="6"/>
  <c r="E591" i="6" s="1"/>
  <c r="L201" i="5"/>
  <c r="N201" i="5"/>
  <c r="J201" i="5"/>
  <c r="R202" i="5"/>
  <c r="F202" i="5"/>
  <c r="V202" i="5"/>
  <c r="I202" i="5"/>
  <c r="S202" i="5"/>
  <c r="D202" i="5"/>
  <c r="X202" i="5"/>
  <c r="P205" i="5"/>
  <c r="A358" i="6"/>
  <c r="B358" i="6" s="1"/>
  <c r="A558" i="6"/>
  <c r="J106" i="5"/>
  <c r="X106" i="5"/>
  <c r="L107" i="5"/>
  <c r="Q110" i="5"/>
  <c r="D111" i="5"/>
  <c r="S111" i="5"/>
  <c r="Q115" i="5"/>
  <c r="T116" i="5"/>
  <c r="R120" i="5"/>
  <c r="T124" i="5"/>
  <c r="P125" i="5"/>
  <c r="K126" i="5"/>
  <c r="Q128" i="5"/>
  <c r="N129" i="5"/>
  <c r="K130" i="5"/>
  <c r="J135" i="5"/>
  <c r="R136" i="5"/>
  <c r="P136" i="5"/>
  <c r="L137" i="5"/>
  <c r="L139" i="5"/>
  <c r="I143" i="5"/>
  <c r="J144" i="5"/>
  <c r="V147" i="5"/>
  <c r="P147" i="5"/>
  <c r="J147" i="5"/>
  <c r="X147" i="5"/>
  <c r="H147" i="5"/>
  <c r="T147" i="5"/>
  <c r="K150" i="5"/>
  <c r="X153" i="5"/>
  <c r="P159" i="5"/>
  <c r="N160" i="5"/>
  <c r="L163" i="5"/>
  <c r="H164" i="5"/>
  <c r="L167" i="5"/>
  <c r="P168" i="5"/>
  <c r="L170" i="5"/>
  <c r="A502" i="6"/>
  <c r="R171" i="5"/>
  <c r="D171" i="5"/>
  <c r="P171" i="5"/>
  <c r="J171" i="5"/>
  <c r="X171" i="5"/>
  <c r="P174" i="5"/>
  <c r="F175" i="5"/>
  <c r="L177" i="5"/>
  <c r="K178" i="5"/>
  <c r="V179" i="5"/>
  <c r="L179" i="5"/>
  <c r="A526" i="6"/>
  <c r="J179" i="5"/>
  <c r="X179" i="5"/>
  <c r="H179" i="5"/>
  <c r="T179" i="5"/>
  <c r="S182" i="5"/>
  <c r="L183" i="5"/>
  <c r="P184" i="5"/>
  <c r="N189" i="5"/>
  <c r="K190" i="5"/>
  <c r="D191" i="5"/>
  <c r="I195" i="5"/>
  <c r="I198" i="5"/>
  <c r="D201" i="5"/>
  <c r="H202" i="5"/>
  <c r="T205" i="5"/>
  <c r="A380" i="6"/>
  <c r="D402" i="6"/>
  <c r="A490" i="6"/>
  <c r="C490" i="6" s="1"/>
  <c r="I106" i="5"/>
  <c r="J107" i="5"/>
  <c r="V109" i="5"/>
  <c r="R111" i="5"/>
  <c r="F124" i="5"/>
  <c r="N125" i="5"/>
  <c r="X126" i="5"/>
  <c r="L129" i="5"/>
  <c r="R110" i="5"/>
  <c r="F111" i="5"/>
  <c r="T111" i="5"/>
  <c r="X116" i="5"/>
  <c r="T120" i="5"/>
  <c r="V123" i="5"/>
  <c r="R123" i="5"/>
  <c r="D123" i="5"/>
  <c r="S123" i="5"/>
  <c r="X124" i="5"/>
  <c r="R125" i="5"/>
  <c r="L126" i="5"/>
  <c r="R128" i="5"/>
  <c r="X129" i="5"/>
  <c r="L130" i="5"/>
  <c r="V131" i="5"/>
  <c r="T131" i="5"/>
  <c r="H131" i="5"/>
  <c r="R131" i="5"/>
  <c r="D131" i="5"/>
  <c r="X131" i="5"/>
  <c r="R137" i="5"/>
  <c r="Q139" i="5"/>
  <c r="N144" i="5"/>
  <c r="R149" i="5"/>
  <c r="L150" i="5"/>
  <c r="T152" i="5"/>
  <c r="N152" i="5"/>
  <c r="A446" i="6"/>
  <c r="V155" i="5"/>
  <c r="P155" i="5"/>
  <c r="L155" i="5"/>
  <c r="I155" i="5"/>
  <c r="T155" i="5"/>
  <c r="Q159" i="5"/>
  <c r="P160" i="5"/>
  <c r="P163" i="5"/>
  <c r="J164" i="5"/>
  <c r="P170" i="5"/>
  <c r="Q174" i="5"/>
  <c r="H175" i="5"/>
  <c r="P178" i="5"/>
  <c r="D182" i="5"/>
  <c r="T182" i="5"/>
  <c r="P183" i="5"/>
  <c r="R184" i="5"/>
  <c r="R189" i="5"/>
  <c r="L190" i="5"/>
  <c r="F191" i="5"/>
  <c r="J195" i="5"/>
  <c r="K198" i="5"/>
  <c r="H201" i="5"/>
  <c r="J202" i="5"/>
  <c r="A310" i="6"/>
  <c r="H310" i="6" s="1"/>
  <c r="A382" i="6"/>
  <c r="F382" i="6" s="1"/>
  <c r="A455" i="6"/>
  <c r="A493" i="6"/>
  <c r="B493" i="6" s="1"/>
  <c r="V141" i="5"/>
  <c r="A413" i="6"/>
  <c r="E413" i="6" s="1"/>
  <c r="T141" i="5"/>
  <c r="H141" i="5"/>
  <c r="P177" i="5"/>
  <c r="H177" i="5"/>
  <c r="V177" i="5"/>
  <c r="N177" i="5"/>
  <c r="S178" i="5"/>
  <c r="S106" i="5"/>
  <c r="D130" i="5"/>
  <c r="N132" i="5"/>
  <c r="V135" i="5"/>
  <c r="T135" i="5"/>
  <c r="H135" i="5"/>
  <c r="R135" i="5"/>
  <c r="D135" i="5"/>
  <c r="V143" i="5"/>
  <c r="T143" i="5"/>
  <c r="J143" i="5"/>
  <c r="X143" i="5"/>
  <c r="H143" i="5"/>
  <c r="D170" i="5"/>
  <c r="D173" i="5"/>
  <c r="T173" i="5"/>
  <c r="P173" i="5"/>
  <c r="D178" i="5"/>
  <c r="I107" i="5"/>
  <c r="K125" i="5"/>
  <c r="H130" i="5"/>
  <c r="H137" i="5"/>
  <c r="L110" i="5"/>
  <c r="K106" i="5"/>
  <c r="P107" i="5"/>
  <c r="D110" i="5"/>
  <c r="V115" i="5"/>
  <c r="R115" i="5"/>
  <c r="D115" i="5"/>
  <c r="L106" i="5"/>
  <c r="Q107" i="5"/>
  <c r="F110" i="5"/>
  <c r="S110" i="5"/>
  <c r="H111" i="5"/>
  <c r="X111" i="5"/>
  <c r="R114" i="5"/>
  <c r="F114" i="5"/>
  <c r="Q114" i="5"/>
  <c r="F115" i="5"/>
  <c r="T115" i="5"/>
  <c r="R122" i="5"/>
  <c r="F122" i="5"/>
  <c r="Q122" i="5"/>
  <c r="F123" i="5"/>
  <c r="T123" i="5"/>
  <c r="P126" i="5"/>
  <c r="P130" i="5"/>
  <c r="F131" i="5"/>
  <c r="P135" i="5"/>
  <c r="Q136" i="5"/>
  <c r="V137" i="5"/>
  <c r="S139" i="5"/>
  <c r="P143" i="5"/>
  <c r="P144" i="5"/>
  <c r="F147" i="5"/>
  <c r="P150" i="5"/>
  <c r="H152" i="5"/>
  <c r="D155" i="5"/>
  <c r="X155" i="5"/>
  <c r="S159" i="5"/>
  <c r="X160" i="5"/>
  <c r="Q163" i="5"/>
  <c r="N164" i="5"/>
  <c r="Q167" i="5"/>
  <c r="Q170" i="5"/>
  <c r="H171" i="5"/>
  <c r="Q172" i="5"/>
  <c r="P172" i="5"/>
  <c r="R174" i="5"/>
  <c r="J175" i="5"/>
  <c r="X177" i="5"/>
  <c r="Q178" i="5"/>
  <c r="F179" i="5"/>
  <c r="F182" i="5"/>
  <c r="V182" i="5"/>
  <c r="R183" i="5"/>
  <c r="V187" i="5"/>
  <c r="T187" i="5"/>
  <c r="H187" i="5"/>
  <c r="I187" i="5"/>
  <c r="S187" i="5"/>
  <c r="D187" i="5"/>
  <c r="T189" i="5"/>
  <c r="Q190" i="5"/>
  <c r="I191" i="5"/>
  <c r="L195" i="5"/>
  <c r="P198" i="5"/>
  <c r="K201" i="5"/>
  <c r="K202" i="5"/>
  <c r="V203" i="5"/>
  <c r="R203" i="5"/>
  <c r="D203" i="5"/>
  <c r="J203" i="5"/>
  <c r="X203" i="5"/>
  <c r="H203" i="5"/>
  <c r="A323" i="6"/>
  <c r="B323" i="6" s="1"/>
  <c r="A503" i="6"/>
  <c r="P138" i="5"/>
  <c r="S162" i="5"/>
  <c r="H162" i="5"/>
  <c r="Q162" i="5"/>
  <c r="T186" i="5"/>
  <c r="I186" i="5"/>
  <c r="Q186" i="5"/>
  <c r="P193" i="5"/>
  <c r="J193" i="5"/>
  <c r="X193" i="5"/>
  <c r="A404" i="6"/>
  <c r="G404" i="6" s="1"/>
  <c r="F138" i="5"/>
  <c r="F162" i="5"/>
  <c r="T162" i="5"/>
  <c r="P169" i="5"/>
  <c r="N169" i="5"/>
  <c r="X169" i="5"/>
  <c r="F186" i="5"/>
  <c r="S186" i="5"/>
  <c r="H193" i="5"/>
  <c r="P200" i="5"/>
  <c r="L7" i="8"/>
  <c r="M6" i="8"/>
  <c r="O6" i="8" s="1"/>
  <c r="B28" i="4" s="1"/>
  <c r="V185" i="5"/>
  <c r="A313" i="6"/>
  <c r="A314" i="6"/>
  <c r="W108" i="5"/>
  <c r="O108" i="5"/>
  <c r="G108" i="5"/>
  <c r="U108" i="5"/>
  <c r="M108" i="5"/>
  <c r="E108" i="5"/>
  <c r="V108" i="5"/>
  <c r="K108" i="5"/>
  <c r="S108" i="5"/>
  <c r="I108" i="5"/>
  <c r="A312" i="6"/>
  <c r="R108" i="5"/>
  <c r="D108" i="5"/>
  <c r="Q108" i="5"/>
  <c r="P108" i="5"/>
  <c r="L108" i="5"/>
  <c r="T108" i="5"/>
  <c r="N108" i="5"/>
  <c r="J108" i="5"/>
  <c r="H108" i="5"/>
  <c r="F108" i="5"/>
  <c r="E605" i="6"/>
  <c r="D605" i="6"/>
  <c r="C605" i="6"/>
  <c r="B605" i="6"/>
  <c r="G605" i="6"/>
  <c r="F605" i="6"/>
  <c r="H605" i="6"/>
  <c r="O21" i="2"/>
  <c r="A580" i="6"/>
  <c r="A581" i="6"/>
  <c r="W197" i="5"/>
  <c r="O197" i="5"/>
  <c r="G197" i="5"/>
  <c r="U197" i="5"/>
  <c r="M197" i="5"/>
  <c r="E197" i="5"/>
  <c r="S197" i="5"/>
  <c r="I197" i="5"/>
  <c r="Q197" i="5"/>
  <c r="F197" i="5"/>
  <c r="A579" i="6"/>
  <c r="K197" i="5"/>
  <c r="X197" i="5"/>
  <c r="J197" i="5"/>
  <c r="R197" i="5"/>
  <c r="N197" i="5"/>
  <c r="P197" i="5"/>
  <c r="L197" i="5"/>
  <c r="V197" i="5"/>
  <c r="H197" i="5"/>
  <c r="T197" i="5"/>
  <c r="C413" i="6"/>
  <c r="G413" i="6"/>
  <c r="F413" i="6"/>
  <c r="H385" i="6"/>
  <c r="B385" i="6"/>
  <c r="E385" i="6"/>
  <c r="C385" i="6"/>
  <c r="G385" i="6"/>
  <c r="D385" i="6"/>
  <c r="F385" i="6"/>
  <c r="B101" i="5"/>
  <c r="E5" i="3"/>
  <c r="X108" i="5"/>
  <c r="H456" i="6"/>
  <c r="F456" i="6"/>
  <c r="E456" i="6"/>
  <c r="D456" i="6"/>
  <c r="B456" i="6"/>
  <c r="G456" i="6"/>
  <c r="A602" i="6"/>
  <c r="A601" i="6"/>
  <c r="W204" i="5"/>
  <c r="O204" i="5"/>
  <c r="G204" i="5"/>
  <c r="U204" i="5"/>
  <c r="M204" i="5"/>
  <c r="E204" i="5"/>
  <c r="V204" i="5"/>
  <c r="K204" i="5"/>
  <c r="S204" i="5"/>
  <c r="I204" i="5"/>
  <c r="T204" i="5"/>
  <c r="F204" i="5"/>
  <c r="R204" i="5"/>
  <c r="D204" i="5"/>
  <c r="N204" i="5"/>
  <c r="J204" i="5"/>
  <c r="A600" i="6"/>
  <c r="L204" i="5"/>
  <c r="H204" i="5"/>
  <c r="X204" i="5"/>
  <c r="P204" i="5"/>
  <c r="Q204" i="5"/>
  <c r="E318" i="6"/>
  <c r="B318" i="6"/>
  <c r="H425" i="6"/>
  <c r="G425" i="6"/>
  <c r="E425" i="6"/>
  <c r="C425" i="6"/>
  <c r="F425" i="6"/>
  <c r="D425" i="6"/>
  <c r="B425" i="6"/>
  <c r="C456" i="6"/>
  <c r="O36" i="2"/>
  <c r="O23" i="2"/>
  <c r="D197" i="5"/>
  <c r="O27" i="2"/>
  <c r="O29" i="2"/>
  <c r="O32" i="2"/>
  <c r="A554" i="6"/>
  <c r="A553" i="6"/>
  <c r="A552" i="6"/>
  <c r="W188" i="5"/>
  <c r="O188" i="5"/>
  <c r="G188" i="5"/>
  <c r="U188" i="5"/>
  <c r="M188" i="5"/>
  <c r="E188" i="5"/>
  <c r="V188" i="5"/>
  <c r="K188" i="5"/>
  <c r="S188" i="5"/>
  <c r="I188" i="5"/>
  <c r="T188" i="5"/>
  <c r="F188" i="5"/>
  <c r="R188" i="5"/>
  <c r="D188" i="5"/>
  <c r="N188" i="5"/>
  <c r="J188" i="5"/>
  <c r="L188" i="5"/>
  <c r="H188" i="5"/>
  <c r="X188" i="5"/>
  <c r="H383" i="6"/>
  <c r="F383" i="6"/>
  <c r="E383" i="6"/>
  <c r="G383" i="6"/>
  <c r="C383" i="6"/>
  <c r="D383" i="6"/>
  <c r="H444" i="6"/>
  <c r="B444" i="6"/>
  <c r="G444" i="6"/>
  <c r="F444" i="6"/>
  <c r="D444" i="6"/>
  <c r="E444" i="6"/>
  <c r="C444" i="6"/>
  <c r="E531" i="6"/>
  <c r="B531" i="6"/>
  <c r="G531" i="6"/>
  <c r="H531" i="6"/>
  <c r="C531" i="6"/>
  <c r="F531" i="6"/>
  <c r="O19" i="2"/>
  <c r="H404" i="6"/>
  <c r="F404" i="6"/>
  <c r="D404" i="6"/>
  <c r="E404" i="6"/>
  <c r="C404" i="6"/>
  <c r="O15" i="2"/>
  <c r="F310" i="6"/>
  <c r="D310" i="6"/>
  <c r="E310" i="6"/>
  <c r="C310" i="6"/>
  <c r="B310" i="6"/>
  <c r="A447" i="6"/>
  <c r="W153" i="5"/>
  <c r="O153" i="5"/>
  <c r="G153" i="5"/>
  <c r="U153" i="5"/>
  <c r="M153" i="5"/>
  <c r="E153" i="5"/>
  <c r="S153" i="5"/>
  <c r="I153" i="5"/>
  <c r="A448" i="6"/>
  <c r="Q153" i="5"/>
  <c r="F153" i="5"/>
  <c r="P153" i="5"/>
  <c r="N153" i="5"/>
  <c r="K153" i="5"/>
  <c r="L153" i="5"/>
  <c r="J153" i="5"/>
  <c r="O24" i="2"/>
  <c r="A360" i="6"/>
  <c r="A361" i="6"/>
  <c r="W124" i="5"/>
  <c r="O124" i="5"/>
  <c r="G124" i="5"/>
  <c r="U124" i="5"/>
  <c r="M124" i="5"/>
  <c r="E124" i="5"/>
  <c r="A362" i="6"/>
  <c r="V124" i="5"/>
  <c r="K124" i="5"/>
  <c r="S124" i="5"/>
  <c r="I124" i="5"/>
  <c r="R124" i="5"/>
  <c r="D124" i="5"/>
  <c r="N124" i="5"/>
  <c r="J124" i="5"/>
  <c r="L124" i="5"/>
  <c r="H124" i="5"/>
  <c r="D153" i="5"/>
  <c r="A459" i="6"/>
  <c r="A461" i="6"/>
  <c r="W157" i="5"/>
  <c r="O157" i="5"/>
  <c r="G157" i="5"/>
  <c r="U157" i="5"/>
  <c r="M157" i="5"/>
  <c r="E157" i="5"/>
  <c r="S157" i="5"/>
  <c r="I157" i="5"/>
  <c r="A460" i="6"/>
  <c r="Q157" i="5"/>
  <c r="F157" i="5"/>
  <c r="X157" i="5"/>
  <c r="J157" i="5"/>
  <c r="N157" i="5"/>
  <c r="K157" i="5"/>
  <c r="L157" i="5"/>
  <c r="H157" i="5"/>
  <c r="A471" i="6"/>
  <c r="A473" i="6"/>
  <c r="W161" i="5"/>
  <c r="O161" i="5"/>
  <c r="G161" i="5"/>
  <c r="U161" i="5"/>
  <c r="M161" i="5"/>
  <c r="E161" i="5"/>
  <c r="S161" i="5"/>
  <c r="I161" i="5"/>
  <c r="Q161" i="5"/>
  <c r="F161" i="5"/>
  <c r="P161" i="5"/>
  <c r="A472" i="6"/>
  <c r="L161" i="5"/>
  <c r="J161" i="5"/>
  <c r="K161" i="5"/>
  <c r="X161" i="5"/>
  <c r="H161" i="5"/>
  <c r="H389" i="6"/>
  <c r="F389" i="6"/>
  <c r="D389" i="6"/>
  <c r="G389" i="6"/>
  <c r="C389" i="6"/>
  <c r="E389" i="6"/>
  <c r="A449" i="6"/>
  <c r="E493" i="6"/>
  <c r="C493" i="6"/>
  <c r="F493" i="6"/>
  <c r="D493" i="6"/>
  <c r="A324" i="6"/>
  <c r="A325" i="6"/>
  <c r="W112" i="5"/>
  <c r="O112" i="5"/>
  <c r="G112" i="5"/>
  <c r="U112" i="5"/>
  <c r="M112" i="5"/>
  <c r="E112" i="5"/>
  <c r="V112" i="5"/>
  <c r="K112" i="5"/>
  <c r="A326" i="6"/>
  <c r="S112" i="5"/>
  <c r="I112" i="5"/>
  <c r="L112" i="5"/>
  <c r="Q112" i="5"/>
  <c r="P112" i="5"/>
  <c r="J112" i="5"/>
  <c r="A516" i="6"/>
  <c r="A517" i="6"/>
  <c r="A518" i="6"/>
  <c r="W176" i="5"/>
  <c r="O176" i="5"/>
  <c r="G176" i="5"/>
  <c r="U176" i="5"/>
  <c r="M176" i="5"/>
  <c r="E176" i="5"/>
  <c r="V176" i="5"/>
  <c r="K176" i="5"/>
  <c r="S176" i="5"/>
  <c r="I176" i="5"/>
  <c r="N176" i="5"/>
  <c r="L176" i="5"/>
  <c r="R176" i="5"/>
  <c r="P176" i="5"/>
  <c r="Q176" i="5"/>
  <c r="J176" i="5"/>
  <c r="D323" i="6"/>
  <c r="G323" i="6"/>
  <c r="C323" i="6"/>
  <c r="E323" i="6"/>
  <c r="F358" i="6"/>
  <c r="D358" i="6"/>
  <c r="H358" i="6"/>
  <c r="H388" i="6"/>
  <c r="E388" i="6"/>
  <c r="C388" i="6"/>
  <c r="F388" i="6"/>
  <c r="B388" i="6"/>
  <c r="G388" i="6"/>
  <c r="D388" i="6"/>
  <c r="H468" i="6"/>
  <c r="B468" i="6"/>
  <c r="F468" i="6"/>
  <c r="D468" i="6"/>
  <c r="C468" i="6"/>
  <c r="H591" i="6"/>
  <c r="F591" i="6"/>
  <c r="F112" i="5"/>
  <c r="A336" i="6"/>
  <c r="A337" i="6"/>
  <c r="A338" i="6"/>
  <c r="W116" i="5"/>
  <c r="O116" i="5"/>
  <c r="G116" i="5"/>
  <c r="U116" i="5"/>
  <c r="M116" i="5"/>
  <c r="E116" i="5"/>
  <c r="V116" i="5"/>
  <c r="K116" i="5"/>
  <c r="S116" i="5"/>
  <c r="I116" i="5"/>
  <c r="R116" i="5"/>
  <c r="D116" i="5"/>
  <c r="P116" i="5"/>
  <c r="N116" i="5"/>
  <c r="J116" i="5"/>
  <c r="A340" i="6"/>
  <c r="A341" i="6"/>
  <c r="W117" i="5"/>
  <c r="O117" i="5"/>
  <c r="G117" i="5"/>
  <c r="U117" i="5"/>
  <c r="M117" i="5"/>
  <c r="E117" i="5"/>
  <c r="S117" i="5"/>
  <c r="I117" i="5"/>
  <c r="Q117" i="5"/>
  <c r="F117" i="5"/>
  <c r="X117" i="5"/>
  <c r="J117" i="5"/>
  <c r="H117" i="5"/>
  <c r="V117" i="5"/>
  <c r="D117" i="5"/>
  <c r="A339" i="6"/>
  <c r="R117" i="5"/>
  <c r="A348" i="6"/>
  <c r="A349" i="6"/>
  <c r="W120" i="5"/>
  <c r="O120" i="5"/>
  <c r="G120" i="5"/>
  <c r="A350" i="6"/>
  <c r="U120" i="5"/>
  <c r="M120" i="5"/>
  <c r="E120" i="5"/>
  <c r="V120" i="5"/>
  <c r="K120" i="5"/>
  <c r="S120" i="5"/>
  <c r="I120" i="5"/>
  <c r="L120" i="5"/>
  <c r="P120" i="5"/>
  <c r="J120" i="5"/>
  <c r="N120" i="5"/>
  <c r="H120" i="5"/>
  <c r="A372" i="6"/>
  <c r="A373" i="6"/>
  <c r="W128" i="5"/>
  <c r="O128" i="5"/>
  <c r="G128" i="5"/>
  <c r="U128" i="5"/>
  <c r="M128" i="5"/>
  <c r="E128" i="5"/>
  <c r="V128" i="5"/>
  <c r="K128" i="5"/>
  <c r="A374" i="6"/>
  <c r="S128" i="5"/>
  <c r="I128" i="5"/>
  <c r="L128" i="5"/>
  <c r="N128" i="5"/>
  <c r="H128" i="5"/>
  <c r="J128" i="5"/>
  <c r="X128" i="5"/>
  <c r="F128" i="5"/>
  <c r="A423" i="6"/>
  <c r="A424" i="6"/>
  <c r="W145" i="5"/>
  <c r="O145" i="5"/>
  <c r="G145" i="5"/>
  <c r="U145" i="5"/>
  <c r="M145" i="5"/>
  <c r="E145" i="5"/>
  <c r="S145" i="5"/>
  <c r="I145" i="5"/>
  <c r="Q145" i="5"/>
  <c r="F145" i="5"/>
  <c r="P145" i="5"/>
  <c r="R145" i="5"/>
  <c r="L145" i="5"/>
  <c r="N145" i="5"/>
  <c r="K145" i="5"/>
  <c r="A435" i="6"/>
  <c r="A436" i="6"/>
  <c r="A437" i="6"/>
  <c r="W149" i="5"/>
  <c r="O149" i="5"/>
  <c r="G149" i="5"/>
  <c r="U149" i="5"/>
  <c r="M149" i="5"/>
  <c r="E149" i="5"/>
  <c r="S149" i="5"/>
  <c r="I149" i="5"/>
  <c r="Q149" i="5"/>
  <c r="F149" i="5"/>
  <c r="X149" i="5"/>
  <c r="J149" i="5"/>
  <c r="P149" i="5"/>
  <c r="L149" i="5"/>
  <c r="N149" i="5"/>
  <c r="K149" i="5"/>
  <c r="H153" i="5"/>
  <c r="A483" i="6"/>
  <c r="A484" i="6"/>
  <c r="W165" i="5"/>
  <c r="O165" i="5"/>
  <c r="G165" i="5"/>
  <c r="U165" i="5"/>
  <c r="M165" i="5"/>
  <c r="E165" i="5"/>
  <c r="S165" i="5"/>
  <c r="I165" i="5"/>
  <c r="A485" i="6"/>
  <c r="Q165" i="5"/>
  <c r="F165" i="5"/>
  <c r="K165" i="5"/>
  <c r="X165" i="5"/>
  <c r="J165" i="5"/>
  <c r="R165" i="5"/>
  <c r="N165" i="5"/>
  <c r="P165" i="5"/>
  <c r="L165" i="5"/>
  <c r="F176" i="5"/>
  <c r="A565" i="6"/>
  <c r="A566" i="6"/>
  <c r="W192" i="5"/>
  <c r="O192" i="5"/>
  <c r="G192" i="5"/>
  <c r="U192" i="5"/>
  <c r="M192" i="5"/>
  <c r="E192" i="5"/>
  <c r="V192" i="5"/>
  <c r="K192" i="5"/>
  <c r="S192" i="5"/>
  <c r="I192" i="5"/>
  <c r="N192" i="5"/>
  <c r="L192" i="5"/>
  <c r="R192" i="5"/>
  <c r="P192" i="5"/>
  <c r="Q192" i="5"/>
  <c r="A564" i="6"/>
  <c r="J192" i="5"/>
  <c r="F308" i="6"/>
  <c r="B308" i="6"/>
  <c r="H308" i="6"/>
  <c r="G308" i="6"/>
  <c r="E308" i="6"/>
  <c r="F342" i="6"/>
  <c r="D342" i="6"/>
  <c r="G342" i="6"/>
  <c r="C342" i="6"/>
  <c r="H342" i="6"/>
  <c r="E342" i="6"/>
  <c r="H462" i="6"/>
  <c r="D462" i="6"/>
  <c r="B462" i="6"/>
  <c r="F462" i="6"/>
  <c r="C462" i="6"/>
  <c r="G468" i="6"/>
  <c r="H481" i="6"/>
  <c r="G481" i="6"/>
  <c r="F481" i="6"/>
  <c r="D481" i="6"/>
  <c r="C481" i="6"/>
  <c r="E481" i="6"/>
  <c r="B481" i="6"/>
  <c r="O16" i="2"/>
  <c r="H112" i="5"/>
  <c r="F116" i="5"/>
  <c r="K117" i="5"/>
  <c r="D120" i="5"/>
  <c r="P124" i="5"/>
  <c r="F371" i="6"/>
  <c r="D371" i="6"/>
  <c r="H371" i="6"/>
  <c r="C371" i="6"/>
  <c r="E371" i="6"/>
  <c r="B371" i="6"/>
  <c r="D128" i="5"/>
  <c r="A384" i="6"/>
  <c r="A386" i="6"/>
  <c r="W132" i="5"/>
  <c r="O132" i="5"/>
  <c r="G132" i="5"/>
  <c r="U132" i="5"/>
  <c r="M132" i="5"/>
  <c r="E132" i="5"/>
  <c r="V132" i="5"/>
  <c r="K132" i="5"/>
  <c r="S132" i="5"/>
  <c r="I132" i="5"/>
  <c r="R132" i="5"/>
  <c r="D132" i="5"/>
  <c r="L132" i="5"/>
  <c r="H132" i="5"/>
  <c r="J132" i="5"/>
  <c r="X132" i="5"/>
  <c r="F132" i="5"/>
  <c r="D145" i="5"/>
  <c r="D149" i="5"/>
  <c r="R153" i="5"/>
  <c r="P157" i="5"/>
  <c r="N161" i="5"/>
  <c r="D165" i="5"/>
  <c r="A505" i="6"/>
  <c r="A504" i="6"/>
  <c r="A506" i="6"/>
  <c r="W172" i="5"/>
  <c r="O172" i="5"/>
  <c r="G172" i="5"/>
  <c r="U172" i="5"/>
  <c r="M172" i="5"/>
  <c r="E172" i="5"/>
  <c r="V172" i="5"/>
  <c r="K172" i="5"/>
  <c r="S172" i="5"/>
  <c r="I172" i="5"/>
  <c r="T172" i="5"/>
  <c r="F172" i="5"/>
  <c r="R172" i="5"/>
  <c r="D172" i="5"/>
  <c r="N172" i="5"/>
  <c r="J172" i="5"/>
  <c r="L172" i="5"/>
  <c r="H172" i="5"/>
  <c r="H176" i="5"/>
  <c r="D192" i="5"/>
  <c r="C308" i="6"/>
  <c r="B342" i="6"/>
  <c r="E462" i="6"/>
  <c r="H486" i="6"/>
  <c r="D486" i="6"/>
  <c r="F486" i="6"/>
  <c r="E486" i="6"/>
  <c r="G486" i="6"/>
  <c r="B486" i="6"/>
  <c r="E526" i="6"/>
  <c r="F526" i="6"/>
  <c r="D526" i="6"/>
  <c r="B526" i="6"/>
  <c r="H526" i="6"/>
  <c r="G526" i="6"/>
  <c r="C526" i="6"/>
  <c r="O31" i="2"/>
  <c r="N112" i="5"/>
  <c r="H116" i="5"/>
  <c r="L117" i="5"/>
  <c r="F120" i="5"/>
  <c r="P128" i="5"/>
  <c r="A396" i="6"/>
  <c r="W136" i="5"/>
  <c r="O136" i="5"/>
  <c r="G136" i="5"/>
  <c r="A398" i="6"/>
  <c r="U136" i="5"/>
  <c r="M136" i="5"/>
  <c r="E136" i="5"/>
  <c r="V136" i="5"/>
  <c r="K136" i="5"/>
  <c r="S136" i="5"/>
  <c r="I136" i="5"/>
  <c r="L136" i="5"/>
  <c r="J136" i="5"/>
  <c r="X136" i="5"/>
  <c r="F136" i="5"/>
  <c r="H136" i="5"/>
  <c r="A397" i="6"/>
  <c r="T136" i="5"/>
  <c r="D136" i="5"/>
  <c r="A411" i="6"/>
  <c r="A412" i="6"/>
  <c r="W141" i="5"/>
  <c r="O141" i="5"/>
  <c r="G141" i="5"/>
  <c r="U141" i="5"/>
  <c r="M141" i="5"/>
  <c r="E141" i="5"/>
  <c r="S141" i="5"/>
  <c r="I141" i="5"/>
  <c r="Q141" i="5"/>
  <c r="F141" i="5"/>
  <c r="X141" i="5"/>
  <c r="J141" i="5"/>
  <c r="R141" i="5"/>
  <c r="N141" i="5"/>
  <c r="P141" i="5"/>
  <c r="L141" i="5"/>
  <c r="H145" i="5"/>
  <c r="H149" i="5"/>
  <c r="T153" i="5"/>
  <c r="H165" i="5"/>
  <c r="T176" i="5"/>
  <c r="A533" i="6"/>
  <c r="A532" i="6"/>
  <c r="W181" i="5"/>
  <c r="O181" i="5"/>
  <c r="G181" i="5"/>
  <c r="U181" i="5"/>
  <c r="M181" i="5"/>
  <c r="E181" i="5"/>
  <c r="S181" i="5"/>
  <c r="I181" i="5"/>
  <c r="Q181" i="5"/>
  <c r="F181" i="5"/>
  <c r="K181" i="5"/>
  <c r="X181" i="5"/>
  <c r="J181" i="5"/>
  <c r="R181" i="5"/>
  <c r="N181" i="5"/>
  <c r="P181" i="5"/>
  <c r="L181" i="5"/>
  <c r="F192" i="5"/>
  <c r="H432" i="6"/>
  <c r="F432" i="6"/>
  <c r="B432" i="6"/>
  <c r="E432" i="6"/>
  <c r="G432" i="6"/>
  <c r="D432" i="6"/>
  <c r="C432" i="6"/>
  <c r="G462" i="6"/>
  <c r="A315" i="6"/>
  <c r="A317" i="6"/>
  <c r="W109" i="5"/>
  <c r="O109" i="5"/>
  <c r="G109" i="5"/>
  <c r="U109" i="5"/>
  <c r="M109" i="5"/>
  <c r="E109" i="5"/>
  <c r="S109" i="5"/>
  <c r="I109" i="5"/>
  <c r="Q109" i="5"/>
  <c r="F109" i="5"/>
  <c r="X109" i="5"/>
  <c r="J109" i="5"/>
  <c r="T109" i="5"/>
  <c r="A328" i="6"/>
  <c r="A329" i="6"/>
  <c r="W113" i="5"/>
  <c r="O113" i="5"/>
  <c r="G113" i="5"/>
  <c r="A327" i="6"/>
  <c r="U113" i="5"/>
  <c r="M113" i="5"/>
  <c r="E113" i="5"/>
  <c r="S113" i="5"/>
  <c r="I113" i="5"/>
  <c r="Q113" i="5"/>
  <c r="F113" i="5"/>
  <c r="P113" i="5"/>
  <c r="T113" i="5"/>
  <c r="R121" i="5"/>
  <c r="A410" i="6"/>
  <c r="W140" i="5"/>
  <c r="O140" i="5"/>
  <c r="G140" i="5"/>
  <c r="U140" i="5"/>
  <c r="M140" i="5"/>
  <c r="E140" i="5"/>
  <c r="V140" i="5"/>
  <c r="K140" i="5"/>
  <c r="A408" i="6"/>
  <c r="S140" i="5"/>
  <c r="I140" i="5"/>
  <c r="R140" i="5"/>
  <c r="D140" i="5"/>
  <c r="T140" i="5"/>
  <c r="A420" i="6"/>
  <c r="W144" i="5"/>
  <c r="O144" i="5"/>
  <c r="G144" i="5"/>
  <c r="U144" i="5"/>
  <c r="M144" i="5"/>
  <c r="E144" i="5"/>
  <c r="V144" i="5"/>
  <c r="K144" i="5"/>
  <c r="S144" i="5"/>
  <c r="I144" i="5"/>
  <c r="A422" i="6"/>
  <c r="L144" i="5"/>
  <c r="R144" i="5"/>
  <c r="A494" i="6"/>
  <c r="A492" i="6"/>
  <c r="W168" i="5"/>
  <c r="O168" i="5"/>
  <c r="G168" i="5"/>
  <c r="U168" i="5"/>
  <c r="M168" i="5"/>
  <c r="E168" i="5"/>
  <c r="V168" i="5"/>
  <c r="K168" i="5"/>
  <c r="S168" i="5"/>
  <c r="I168" i="5"/>
  <c r="N168" i="5"/>
  <c r="L168" i="5"/>
  <c r="T168" i="5"/>
  <c r="A542" i="6"/>
  <c r="A541" i="6"/>
  <c r="W184" i="5"/>
  <c r="O184" i="5"/>
  <c r="G184" i="5"/>
  <c r="A540" i="6"/>
  <c r="U184" i="5"/>
  <c r="M184" i="5"/>
  <c r="E184" i="5"/>
  <c r="V184" i="5"/>
  <c r="K184" i="5"/>
  <c r="S184" i="5"/>
  <c r="I184" i="5"/>
  <c r="N184" i="5"/>
  <c r="L184" i="5"/>
  <c r="T184" i="5"/>
  <c r="A590" i="6"/>
  <c r="A588" i="6"/>
  <c r="A589" i="6"/>
  <c r="W200" i="5"/>
  <c r="O200" i="5"/>
  <c r="G200" i="5"/>
  <c r="U200" i="5"/>
  <c r="M200" i="5"/>
  <c r="E200" i="5"/>
  <c r="V200" i="5"/>
  <c r="K200" i="5"/>
  <c r="S200" i="5"/>
  <c r="I200" i="5"/>
  <c r="N200" i="5"/>
  <c r="L200" i="5"/>
  <c r="T200" i="5"/>
  <c r="H380" i="6"/>
  <c r="E380" i="6"/>
  <c r="C380" i="6"/>
  <c r="F380" i="6"/>
  <c r="D380" i="6"/>
  <c r="B380" i="6"/>
  <c r="H391" i="6"/>
  <c r="F391" i="6"/>
  <c r="E391" i="6"/>
  <c r="C391" i="6"/>
  <c r="D391" i="6"/>
  <c r="A409" i="6"/>
  <c r="H415" i="6"/>
  <c r="E415" i="6"/>
  <c r="B415" i="6"/>
  <c r="F415" i="6"/>
  <c r="C415" i="6"/>
  <c r="A434" i="6"/>
  <c r="H446" i="6"/>
  <c r="D446" i="6"/>
  <c r="E446" i="6"/>
  <c r="B446" i="6"/>
  <c r="F446" i="6"/>
  <c r="G446" i="6"/>
  <c r="E575" i="6"/>
  <c r="G575" i="6"/>
  <c r="D575" i="6"/>
  <c r="H575" i="6"/>
  <c r="B575" i="6"/>
  <c r="F575" i="6"/>
  <c r="H109" i="5"/>
  <c r="H113" i="5"/>
  <c r="X113" i="5"/>
  <c r="D121" i="5"/>
  <c r="A364" i="6"/>
  <c r="A365" i="6"/>
  <c r="A363" i="6"/>
  <c r="W125" i="5"/>
  <c r="O125" i="5"/>
  <c r="G125" i="5"/>
  <c r="U125" i="5"/>
  <c r="M125" i="5"/>
  <c r="E125" i="5"/>
  <c r="S125" i="5"/>
  <c r="I125" i="5"/>
  <c r="Q125" i="5"/>
  <c r="F125" i="5"/>
  <c r="X125" i="5"/>
  <c r="J125" i="5"/>
  <c r="T125" i="5"/>
  <c r="A376" i="6"/>
  <c r="A375" i="6"/>
  <c r="W129" i="5"/>
  <c r="O129" i="5"/>
  <c r="G129" i="5"/>
  <c r="U129" i="5"/>
  <c r="M129" i="5"/>
  <c r="E129" i="5"/>
  <c r="S129" i="5"/>
  <c r="I129" i="5"/>
  <c r="Q129" i="5"/>
  <c r="F129" i="5"/>
  <c r="P129" i="5"/>
  <c r="T129" i="5"/>
  <c r="H140" i="5"/>
  <c r="F144" i="5"/>
  <c r="X144" i="5"/>
  <c r="F148" i="5"/>
  <c r="D152" i="5"/>
  <c r="A457" i="6"/>
  <c r="A458" i="6"/>
  <c r="W156" i="5"/>
  <c r="O156" i="5"/>
  <c r="G156" i="5"/>
  <c r="U156" i="5"/>
  <c r="M156" i="5"/>
  <c r="E156" i="5"/>
  <c r="V156" i="5"/>
  <c r="K156" i="5"/>
  <c r="S156" i="5"/>
  <c r="I156" i="5"/>
  <c r="R156" i="5"/>
  <c r="D156" i="5"/>
  <c r="T156" i="5"/>
  <c r="A470" i="6"/>
  <c r="W160" i="5"/>
  <c r="O160" i="5"/>
  <c r="G160" i="5"/>
  <c r="U160" i="5"/>
  <c r="M160" i="5"/>
  <c r="E160" i="5"/>
  <c r="V160" i="5"/>
  <c r="K160" i="5"/>
  <c r="S160" i="5"/>
  <c r="I160" i="5"/>
  <c r="A469" i="6"/>
  <c r="L160" i="5"/>
  <c r="R160" i="5"/>
  <c r="F168" i="5"/>
  <c r="F184" i="5"/>
  <c r="F200" i="5"/>
  <c r="A316" i="6"/>
  <c r="F335" i="6"/>
  <c r="D335" i="6"/>
  <c r="G335" i="6"/>
  <c r="H335" i="6"/>
  <c r="E335" i="6"/>
  <c r="C335" i="6"/>
  <c r="G391" i="6"/>
  <c r="G415" i="6"/>
  <c r="D523" i="6"/>
  <c r="E523" i="6"/>
  <c r="F523" i="6"/>
  <c r="H523" i="6"/>
  <c r="B523" i="6"/>
  <c r="G523" i="6"/>
  <c r="C523" i="6"/>
  <c r="E534" i="6"/>
  <c r="F534" i="6"/>
  <c r="C534" i="6"/>
  <c r="B534" i="6"/>
  <c r="H534" i="6"/>
  <c r="G534" i="6"/>
  <c r="D534" i="6"/>
  <c r="A352" i="6"/>
  <c r="A353" i="6"/>
  <c r="W121" i="5"/>
  <c r="O121" i="5"/>
  <c r="G121" i="5"/>
  <c r="U121" i="5"/>
  <c r="M121" i="5"/>
  <c r="E121" i="5"/>
  <c r="S121" i="5"/>
  <c r="I121" i="5"/>
  <c r="Q121" i="5"/>
  <c r="F121" i="5"/>
  <c r="P121" i="5"/>
  <c r="T121" i="5"/>
  <c r="F140" i="5"/>
  <c r="X140" i="5"/>
  <c r="D144" i="5"/>
  <c r="T144" i="5"/>
  <c r="A433" i="6"/>
  <c r="W148" i="5"/>
  <c r="O148" i="5"/>
  <c r="G148" i="5"/>
  <c r="U148" i="5"/>
  <c r="M148" i="5"/>
  <c r="E148" i="5"/>
  <c r="V148" i="5"/>
  <c r="K148" i="5"/>
  <c r="S148" i="5"/>
  <c r="I148" i="5"/>
  <c r="R148" i="5"/>
  <c r="D148" i="5"/>
  <c r="T148" i="5"/>
  <c r="A445" i="6"/>
  <c r="W152" i="5"/>
  <c r="O152" i="5"/>
  <c r="G152" i="5"/>
  <c r="U152" i="5"/>
  <c r="M152" i="5"/>
  <c r="E152" i="5"/>
  <c r="V152" i="5"/>
  <c r="K152" i="5"/>
  <c r="S152" i="5"/>
  <c r="I152" i="5"/>
  <c r="L152" i="5"/>
  <c r="R152" i="5"/>
  <c r="D168" i="5"/>
  <c r="X168" i="5"/>
  <c r="A509" i="6"/>
  <c r="A508" i="6"/>
  <c r="W173" i="5"/>
  <c r="O173" i="5"/>
  <c r="G173" i="5"/>
  <c r="U173" i="5"/>
  <c r="M173" i="5"/>
  <c r="E173" i="5"/>
  <c r="A507" i="6"/>
  <c r="S173" i="5"/>
  <c r="I173" i="5"/>
  <c r="Q173" i="5"/>
  <c r="F173" i="5"/>
  <c r="K173" i="5"/>
  <c r="X173" i="5"/>
  <c r="J173" i="5"/>
  <c r="V173" i="5"/>
  <c r="E539" i="6"/>
  <c r="B539" i="6"/>
  <c r="F539" i="6"/>
  <c r="G539" i="6"/>
  <c r="C539" i="6"/>
  <c r="D539" i="6"/>
  <c r="H539" i="6"/>
  <c r="D184" i="5"/>
  <c r="X184" i="5"/>
  <c r="A556" i="6"/>
  <c r="A557" i="6"/>
  <c r="W189" i="5"/>
  <c r="O189" i="5"/>
  <c r="G189" i="5"/>
  <c r="U189" i="5"/>
  <c r="M189" i="5"/>
  <c r="E189" i="5"/>
  <c r="S189" i="5"/>
  <c r="I189" i="5"/>
  <c r="A555" i="6"/>
  <c r="Q189" i="5"/>
  <c r="F189" i="5"/>
  <c r="K189" i="5"/>
  <c r="X189" i="5"/>
  <c r="J189" i="5"/>
  <c r="V189" i="5"/>
  <c r="D200" i="5"/>
  <c r="X200" i="5"/>
  <c r="A603" i="6"/>
  <c r="U205" i="5"/>
  <c r="X205" i="5"/>
  <c r="O205" i="5"/>
  <c r="G205" i="5"/>
  <c r="V205" i="5"/>
  <c r="M205" i="5"/>
  <c r="E205" i="5"/>
  <c r="A604" i="6"/>
  <c r="S205" i="5"/>
  <c r="I205" i="5"/>
  <c r="Q205" i="5"/>
  <c r="F205" i="5"/>
  <c r="K205" i="5"/>
  <c r="J205" i="5"/>
  <c r="W205" i="5"/>
  <c r="G380" i="6"/>
  <c r="B391" i="6"/>
  <c r="D415" i="6"/>
  <c r="A421" i="6"/>
  <c r="H428" i="6"/>
  <c r="B428" i="6"/>
  <c r="C428" i="6"/>
  <c r="F428" i="6"/>
  <c r="D428" i="6"/>
  <c r="C446" i="6"/>
  <c r="E490" i="6"/>
  <c r="H490" i="6"/>
  <c r="F490" i="6"/>
  <c r="D490" i="6"/>
  <c r="B490" i="6"/>
  <c r="K109" i="5"/>
  <c r="J113" i="5"/>
  <c r="H121" i="5"/>
  <c r="X121" i="5"/>
  <c r="D125" i="5"/>
  <c r="V125" i="5"/>
  <c r="D129" i="5"/>
  <c r="V129" i="5"/>
  <c r="A387" i="6"/>
  <c r="W133" i="5"/>
  <c r="O133" i="5"/>
  <c r="G133" i="5"/>
  <c r="U133" i="5"/>
  <c r="M133" i="5"/>
  <c r="E133" i="5"/>
  <c r="S133" i="5"/>
  <c r="I133" i="5"/>
  <c r="Q133" i="5"/>
  <c r="F133" i="5"/>
  <c r="X133" i="5"/>
  <c r="J133" i="5"/>
  <c r="T133" i="5"/>
  <c r="A400" i="6"/>
  <c r="A401" i="6"/>
  <c r="W137" i="5"/>
  <c r="O137" i="5"/>
  <c r="G137" i="5"/>
  <c r="U137" i="5"/>
  <c r="M137" i="5"/>
  <c r="E137" i="5"/>
  <c r="A399" i="6"/>
  <c r="S137" i="5"/>
  <c r="I137" i="5"/>
  <c r="Q137" i="5"/>
  <c r="F137" i="5"/>
  <c r="P137" i="5"/>
  <c r="T137" i="5"/>
  <c r="J140" i="5"/>
  <c r="H144" i="5"/>
  <c r="H148" i="5"/>
  <c r="F152" i="5"/>
  <c r="X152" i="5"/>
  <c r="F156" i="5"/>
  <c r="X156" i="5"/>
  <c r="D160" i="5"/>
  <c r="T160" i="5"/>
  <c r="A482" i="6"/>
  <c r="A480" i="6"/>
  <c r="W164" i="5"/>
  <c r="O164" i="5"/>
  <c r="G164" i="5"/>
  <c r="U164" i="5"/>
  <c r="M164" i="5"/>
  <c r="E164" i="5"/>
  <c r="V164" i="5"/>
  <c r="K164" i="5"/>
  <c r="S164" i="5"/>
  <c r="I164" i="5"/>
  <c r="T164" i="5"/>
  <c r="F164" i="5"/>
  <c r="R164" i="5"/>
  <c r="D164" i="5"/>
  <c r="H168" i="5"/>
  <c r="H173" i="5"/>
  <c r="A530" i="6"/>
  <c r="A529" i="6"/>
  <c r="A528" i="6"/>
  <c r="W180" i="5"/>
  <c r="O180" i="5"/>
  <c r="G180" i="5"/>
  <c r="U180" i="5"/>
  <c r="M180" i="5"/>
  <c r="E180" i="5"/>
  <c r="V180" i="5"/>
  <c r="K180" i="5"/>
  <c r="S180" i="5"/>
  <c r="I180" i="5"/>
  <c r="T180" i="5"/>
  <c r="F180" i="5"/>
  <c r="R180" i="5"/>
  <c r="D180" i="5"/>
  <c r="H184" i="5"/>
  <c r="H189" i="5"/>
  <c r="A578" i="6"/>
  <c r="A577" i="6"/>
  <c r="W196" i="5"/>
  <c r="O196" i="5"/>
  <c r="G196" i="5"/>
  <c r="U196" i="5"/>
  <c r="M196" i="5"/>
  <c r="E196" i="5"/>
  <c r="V196" i="5"/>
  <c r="K196" i="5"/>
  <c r="A576" i="6"/>
  <c r="S196" i="5"/>
  <c r="I196" i="5"/>
  <c r="T196" i="5"/>
  <c r="F196" i="5"/>
  <c r="R196" i="5"/>
  <c r="D196" i="5"/>
  <c r="H200" i="5"/>
  <c r="H205" i="5"/>
  <c r="B335" i="6"/>
  <c r="F346" i="6"/>
  <c r="D346" i="6"/>
  <c r="G346" i="6"/>
  <c r="C346" i="6"/>
  <c r="E346" i="6"/>
  <c r="A351" i="6"/>
  <c r="A377" i="6"/>
  <c r="G428" i="6"/>
  <c r="G490" i="6"/>
  <c r="F558" i="6"/>
  <c r="G558" i="6"/>
  <c r="D558" i="6"/>
  <c r="B558" i="6"/>
  <c r="F502" i="6"/>
  <c r="G502" i="6"/>
  <c r="E502" i="6"/>
  <c r="H502" i="6"/>
  <c r="D502" i="6"/>
  <c r="B502" i="6"/>
  <c r="C502" i="6"/>
  <c r="H416" i="6"/>
  <c r="F416" i="6"/>
  <c r="D416" i="6"/>
  <c r="B416" i="6"/>
  <c r="E416" i="6"/>
  <c r="G416" i="6"/>
  <c r="H455" i="6"/>
  <c r="E455" i="6"/>
  <c r="F455" i="6"/>
  <c r="C455" i="6"/>
  <c r="G455" i="6"/>
  <c r="B455" i="6"/>
  <c r="H465" i="6"/>
  <c r="G465" i="6"/>
  <c r="F465" i="6"/>
  <c r="E465" i="6"/>
  <c r="C465" i="6"/>
  <c r="E535" i="6"/>
  <c r="G535" i="6"/>
  <c r="F535" i="6"/>
  <c r="B535" i="6"/>
  <c r="C535" i="6"/>
  <c r="D535" i="6"/>
  <c r="H535" i="6"/>
  <c r="A495" i="6"/>
  <c r="A497" i="6"/>
  <c r="A496" i="6"/>
  <c r="W169" i="5"/>
  <c r="O169" i="5"/>
  <c r="G169" i="5"/>
  <c r="U169" i="5"/>
  <c r="M169" i="5"/>
  <c r="E169" i="5"/>
  <c r="S169" i="5"/>
  <c r="I169" i="5"/>
  <c r="Q169" i="5"/>
  <c r="F169" i="5"/>
  <c r="R169" i="5"/>
  <c r="A519" i="6"/>
  <c r="A521" i="6"/>
  <c r="W177" i="5"/>
  <c r="O177" i="5"/>
  <c r="G177" i="5"/>
  <c r="U177" i="5"/>
  <c r="M177" i="5"/>
  <c r="E177" i="5"/>
  <c r="A520" i="6"/>
  <c r="S177" i="5"/>
  <c r="I177" i="5"/>
  <c r="Q177" i="5"/>
  <c r="F177" i="5"/>
  <c r="R177" i="5"/>
  <c r="A543" i="6"/>
  <c r="A545" i="6"/>
  <c r="W185" i="5"/>
  <c r="O185" i="5"/>
  <c r="G185" i="5"/>
  <c r="A544" i="6"/>
  <c r="U185" i="5"/>
  <c r="M185" i="5"/>
  <c r="E185" i="5"/>
  <c r="S185" i="5"/>
  <c r="I185" i="5"/>
  <c r="Q185" i="5"/>
  <c r="F185" i="5"/>
  <c r="R185" i="5"/>
  <c r="A567" i="6"/>
  <c r="A568" i="6"/>
  <c r="A569" i="6"/>
  <c r="W193" i="5"/>
  <c r="O193" i="5"/>
  <c r="G193" i="5"/>
  <c r="U193" i="5"/>
  <c r="M193" i="5"/>
  <c r="E193" i="5"/>
  <c r="S193" i="5"/>
  <c r="I193" i="5"/>
  <c r="Q193" i="5"/>
  <c r="F193" i="5"/>
  <c r="R193" i="5"/>
  <c r="A592" i="6"/>
  <c r="W201" i="5"/>
  <c r="O201" i="5"/>
  <c r="G201" i="5"/>
  <c r="U201" i="5"/>
  <c r="M201" i="5"/>
  <c r="E201" i="5"/>
  <c r="S201" i="5"/>
  <c r="I201" i="5"/>
  <c r="A593" i="6"/>
  <c r="Q201" i="5"/>
  <c r="F201" i="5"/>
  <c r="R201" i="5"/>
  <c r="F330" i="6"/>
  <c r="D330" i="6"/>
  <c r="G330" i="6"/>
  <c r="C330" i="6"/>
  <c r="E330" i="6"/>
  <c r="H330" i="6"/>
  <c r="C416" i="6"/>
  <c r="D455" i="6"/>
  <c r="B465" i="6"/>
  <c r="A307" i="6"/>
  <c r="W106" i="5"/>
  <c r="O106" i="5"/>
  <c r="G106" i="5"/>
  <c r="A306" i="6"/>
  <c r="U106" i="5"/>
  <c r="M106" i="5"/>
  <c r="E106" i="5"/>
  <c r="N106" i="5"/>
  <c r="K107" i="5"/>
  <c r="A320" i="6"/>
  <c r="W110" i="5"/>
  <c r="O110" i="5"/>
  <c r="G110" i="5"/>
  <c r="U110" i="5"/>
  <c r="M110" i="5"/>
  <c r="E110" i="5"/>
  <c r="N110" i="5"/>
  <c r="K111" i="5"/>
  <c r="A332" i="6"/>
  <c r="A331" i="6"/>
  <c r="W114" i="5"/>
  <c r="O114" i="5"/>
  <c r="G114" i="5"/>
  <c r="U114" i="5"/>
  <c r="M114" i="5"/>
  <c r="E114" i="5"/>
  <c r="N114" i="5"/>
  <c r="K115" i="5"/>
  <c r="A344" i="6"/>
  <c r="W118" i="5"/>
  <c r="O118" i="5"/>
  <c r="G118" i="5"/>
  <c r="A343" i="6"/>
  <c r="U118" i="5"/>
  <c r="M118" i="5"/>
  <c r="E118" i="5"/>
  <c r="N118" i="5"/>
  <c r="K119" i="5"/>
  <c r="A356" i="6"/>
  <c r="A354" i="6"/>
  <c r="W122" i="5"/>
  <c r="O122" i="5"/>
  <c r="G122" i="5"/>
  <c r="U122" i="5"/>
  <c r="M122" i="5"/>
  <c r="E122" i="5"/>
  <c r="N122" i="5"/>
  <c r="K123" i="5"/>
  <c r="A368" i="6"/>
  <c r="W126" i="5"/>
  <c r="O126" i="5"/>
  <c r="G126" i="5"/>
  <c r="A366" i="6"/>
  <c r="U126" i="5"/>
  <c r="M126" i="5"/>
  <c r="E126" i="5"/>
  <c r="N126" i="5"/>
  <c r="K127" i="5"/>
  <c r="V127" i="5"/>
  <c r="A378" i="6"/>
  <c r="A379" i="6"/>
  <c r="W130" i="5"/>
  <c r="O130" i="5"/>
  <c r="G130" i="5"/>
  <c r="U130" i="5"/>
  <c r="M130" i="5"/>
  <c r="E130" i="5"/>
  <c r="N130" i="5"/>
  <c r="K131" i="5"/>
  <c r="A392" i="6"/>
  <c r="A390" i="6"/>
  <c r="W134" i="5"/>
  <c r="O134" i="5"/>
  <c r="G134" i="5"/>
  <c r="U134" i="5"/>
  <c r="M134" i="5"/>
  <c r="E134" i="5"/>
  <c r="N134" i="5"/>
  <c r="K135" i="5"/>
  <c r="A403" i="6"/>
  <c r="W138" i="5"/>
  <c r="O138" i="5"/>
  <c r="G138" i="5"/>
  <c r="U138" i="5"/>
  <c r="M138" i="5"/>
  <c r="E138" i="5"/>
  <c r="N138" i="5"/>
  <c r="K139" i="5"/>
  <c r="A414" i="6"/>
  <c r="W142" i="5"/>
  <c r="O142" i="5"/>
  <c r="G142" i="5"/>
  <c r="U142" i="5"/>
  <c r="M142" i="5"/>
  <c r="E142" i="5"/>
  <c r="N142" i="5"/>
  <c r="K143" i="5"/>
  <c r="A427" i="6"/>
  <c r="W146" i="5"/>
  <c r="O146" i="5"/>
  <c r="G146" i="5"/>
  <c r="A426" i="6"/>
  <c r="U146" i="5"/>
  <c r="M146" i="5"/>
  <c r="E146" i="5"/>
  <c r="N146" i="5"/>
  <c r="K147" i="5"/>
  <c r="A440" i="6"/>
  <c r="A438" i="6"/>
  <c r="W150" i="5"/>
  <c r="O150" i="5"/>
  <c r="G150" i="5"/>
  <c r="U150" i="5"/>
  <c r="M150" i="5"/>
  <c r="E150" i="5"/>
  <c r="N150" i="5"/>
  <c r="K151" i="5"/>
  <c r="A451" i="6"/>
  <c r="A450" i="6"/>
  <c r="A452" i="6"/>
  <c r="W154" i="5"/>
  <c r="O154" i="5"/>
  <c r="G154" i="5"/>
  <c r="U154" i="5"/>
  <c r="M154" i="5"/>
  <c r="E154" i="5"/>
  <c r="N154" i="5"/>
  <c r="K155" i="5"/>
  <c r="A464" i="6"/>
  <c r="W158" i="5"/>
  <c r="O158" i="5"/>
  <c r="G158" i="5"/>
  <c r="A463" i="6"/>
  <c r="U158" i="5"/>
  <c r="M158" i="5"/>
  <c r="E158" i="5"/>
  <c r="N158" i="5"/>
  <c r="K159" i="5"/>
  <c r="A475" i="6"/>
  <c r="A474" i="6"/>
  <c r="A476" i="6"/>
  <c r="W162" i="5"/>
  <c r="O162" i="5"/>
  <c r="G162" i="5"/>
  <c r="U162" i="5"/>
  <c r="M162" i="5"/>
  <c r="E162" i="5"/>
  <c r="N162" i="5"/>
  <c r="K163" i="5"/>
  <c r="A487" i="6"/>
  <c r="A488" i="6"/>
  <c r="W166" i="5"/>
  <c r="O166" i="5"/>
  <c r="G166" i="5"/>
  <c r="U166" i="5"/>
  <c r="M166" i="5"/>
  <c r="E166" i="5"/>
  <c r="N166" i="5"/>
  <c r="K167" i="5"/>
  <c r="A499" i="6"/>
  <c r="A500" i="6"/>
  <c r="A498" i="6"/>
  <c r="W170" i="5"/>
  <c r="O170" i="5"/>
  <c r="G170" i="5"/>
  <c r="U170" i="5"/>
  <c r="M170" i="5"/>
  <c r="E170" i="5"/>
  <c r="N170" i="5"/>
  <c r="K171" i="5"/>
  <c r="V171" i="5"/>
  <c r="A510" i="6"/>
  <c r="A512" i="6"/>
  <c r="W174" i="5"/>
  <c r="O174" i="5"/>
  <c r="G174" i="5"/>
  <c r="U174" i="5"/>
  <c r="M174" i="5"/>
  <c r="E174" i="5"/>
  <c r="N174" i="5"/>
  <c r="K175" i="5"/>
  <c r="A524" i="6"/>
  <c r="A522" i="6"/>
  <c r="W178" i="5"/>
  <c r="O178" i="5"/>
  <c r="G178" i="5"/>
  <c r="U178" i="5"/>
  <c r="M178" i="5"/>
  <c r="E178" i="5"/>
  <c r="N178" i="5"/>
  <c r="K179" i="5"/>
  <c r="A536" i="6"/>
  <c r="W182" i="5"/>
  <c r="O182" i="5"/>
  <c r="G182" i="5"/>
  <c r="U182" i="5"/>
  <c r="M182" i="5"/>
  <c r="E182" i="5"/>
  <c r="N182" i="5"/>
  <c r="K183" i="5"/>
  <c r="V183" i="5"/>
  <c r="A546" i="6"/>
  <c r="A547" i="6"/>
  <c r="W186" i="5"/>
  <c r="O186" i="5"/>
  <c r="G186" i="5"/>
  <c r="A548" i="6"/>
  <c r="U186" i="5"/>
  <c r="M186" i="5"/>
  <c r="E186" i="5"/>
  <c r="N186" i="5"/>
  <c r="K187" i="5"/>
  <c r="A559" i="6"/>
  <c r="A560" i="6"/>
  <c r="W190" i="5"/>
  <c r="O190" i="5"/>
  <c r="G190" i="5"/>
  <c r="U190" i="5"/>
  <c r="M190" i="5"/>
  <c r="E190" i="5"/>
  <c r="N190" i="5"/>
  <c r="K191" i="5"/>
  <c r="A570" i="6"/>
  <c r="A571" i="6"/>
  <c r="A572" i="6"/>
  <c r="W194" i="5"/>
  <c r="O194" i="5"/>
  <c r="G194" i="5"/>
  <c r="U194" i="5"/>
  <c r="M194" i="5"/>
  <c r="E194" i="5"/>
  <c r="N194" i="5"/>
  <c r="K195" i="5"/>
  <c r="A584" i="6"/>
  <c r="A583" i="6"/>
  <c r="W198" i="5"/>
  <c r="O198" i="5"/>
  <c r="G198" i="5"/>
  <c r="U198" i="5"/>
  <c r="M198" i="5"/>
  <c r="E198" i="5"/>
  <c r="N198" i="5"/>
  <c r="K199" i="5"/>
  <c r="A594" i="6"/>
  <c r="A595" i="6"/>
  <c r="A596" i="6"/>
  <c r="W202" i="5"/>
  <c r="O202" i="5"/>
  <c r="G202" i="5"/>
  <c r="U202" i="5"/>
  <c r="M202" i="5"/>
  <c r="E202" i="5"/>
  <c r="N202" i="5"/>
  <c r="K203" i="5"/>
  <c r="A319" i="6"/>
  <c r="H382" i="6"/>
  <c r="G382" i="6"/>
  <c r="E382" i="6"/>
  <c r="D382" i="6"/>
  <c r="B382" i="6"/>
  <c r="H402" i="6"/>
  <c r="B402" i="6"/>
  <c r="G402" i="6"/>
  <c r="E402" i="6"/>
  <c r="H439" i="6"/>
  <c r="E439" i="6"/>
  <c r="F439" i="6"/>
  <c r="D439" i="6"/>
  <c r="G439" i="6"/>
  <c r="H442" i="6"/>
  <c r="E442" i="6"/>
  <c r="C442" i="6"/>
  <c r="F442" i="6"/>
  <c r="B442" i="6"/>
  <c r="H479" i="6"/>
  <c r="E479" i="6"/>
  <c r="B479" i="6"/>
  <c r="F479" i="6"/>
  <c r="G479" i="6"/>
  <c r="C479" i="6"/>
  <c r="F503" i="6"/>
  <c r="H503" i="6"/>
  <c r="B503" i="6"/>
  <c r="C503" i="6"/>
  <c r="E582" i="6"/>
  <c r="F582" i="6"/>
  <c r="G582" i="6"/>
  <c r="B582" i="6"/>
  <c r="D582" i="6"/>
  <c r="A311" i="6"/>
  <c r="W107" i="5"/>
  <c r="O107" i="5"/>
  <c r="G107" i="5"/>
  <c r="A309" i="6"/>
  <c r="U107" i="5"/>
  <c r="M107" i="5"/>
  <c r="E107" i="5"/>
  <c r="N107" i="5"/>
  <c r="A321" i="6"/>
  <c r="A322" i="6"/>
  <c r="W111" i="5"/>
  <c r="O111" i="5"/>
  <c r="G111" i="5"/>
  <c r="U111" i="5"/>
  <c r="M111" i="5"/>
  <c r="E111" i="5"/>
  <c r="N111" i="5"/>
  <c r="A333" i="6"/>
  <c r="W115" i="5"/>
  <c r="O115" i="5"/>
  <c r="G115" i="5"/>
  <c r="A334" i="6"/>
  <c r="U115" i="5"/>
  <c r="M115" i="5"/>
  <c r="E115" i="5"/>
  <c r="N115" i="5"/>
  <c r="A345" i="6"/>
  <c r="A347" i="6"/>
  <c r="W119" i="5"/>
  <c r="O119" i="5"/>
  <c r="G119" i="5"/>
  <c r="U119" i="5"/>
  <c r="M119" i="5"/>
  <c r="E119" i="5"/>
  <c r="N119" i="5"/>
  <c r="A357" i="6"/>
  <c r="W123" i="5"/>
  <c r="O123" i="5"/>
  <c r="G123" i="5"/>
  <c r="A359" i="6"/>
  <c r="U123" i="5"/>
  <c r="M123" i="5"/>
  <c r="E123" i="5"/>
  <c r="N123" i="5"/>
  <c r="A369" i="6"/>
  <c r="A370" i="6"/>
  <c r="W127" i="5"/>
  <c r="O127" i="5"/>
  <c r="G127" i="5"/>
  <c r="U127" i="5"/>
  <c r="M127" i="5"/>
  <c r="E127" i="5"/>
  <c r="N127" i="5"/>
  <c r="A381" i="6"/>
  <c r="W131" i="5"/>
  <c r="O131" i="5"/>
  <c r="G131" i="5"/>
  <c r="U131" i="5"/>
  <c r="M131" i="5"/>
  <c r="E131" i="5"/>
  <c r="N131" i="5"/>
  <c r="A395" i="6"/>
  <c r="A394" i="6"/>
  <c r="W135" i="5"/>
  <c r="O135" i="5"/>
  <c r="G135" i="5"/>
  <c r="U135" i="5"/>
  <c r="M135" i="5"/>
  <c r="E135" i="5"/>
  <c r="N135" i="5"/>
  <c r="A406" i="6"/>
  <c r="A407" i="6"/>
  <c r="W139" i="5"/>
  <c r="O139" i="5"/>
  <c r="G139" i="5"/>
  <c r="A405" i="6"/>
  <c r="U139" i="5"/>
  <c r="M139" i="5"/>
  <c r="E139" i="5"/>
  <c r="N139" i="5"/>
  <c r="A419" i="6"/>
  <c r="A417" i="6"/>
  <c r="W143" i="5"/>
  <c r="O143" i="5"/>
  <c r="G143" i="5"/>
  <c r="U143" i="5"/>
  <c r="M143" i="5"/>
  <c r="E143" i="5"/>
  <c r="N143" i="5"/>
  <c r="A431" i="6"/>
  <c r="A429" i="6"/>
  <c r="W147" i="5"/>
  <c r="O147" i="5"/>
  <c r="G147" i="5"/>
  <c r="U147" i="5"/>
  <c r="M147" i="5"/>
  <c r="E147" i="5"/>
  <c r="N147" i="5"/>
  <c r="A443" i="6"/>
  <c r="A441" i="6"/>
  <c r="W151" i="5"/>
  <c r="O151" i="5"/>
  <c r="G151" i="5"/>
  <c r="U151" i="5"/>
  <c r="M151" i="5"/>
  <c r="E151" i="5"/>
  <c r="N151" i="5"/>
  <c r="A453" i="6"/>
  <c r="A454" i="6"/>
  <c r="W155" i="5"/>
  <c r="O155" i="5"/>
  <c r="G155" i="5"/>
  <c r="U155" i="5"/>
  <c r="M155" i="5"/>
  <c r="E155" i="5"/>
  <c r="N155" i="5"/>
  <c r="A467" i="6"/>
  <c r="A466" i="6"/>
  <c r="W159" i="5"/>
  <c r="O159" i="5"/>
  <c r="G159" i="5"/>
  <c r="U159" i="5"/>
  <c r="M159" i="5"/>
  <c r="E159" i="5"/>
  <c r="N159" i="5"/>
  <c r="A478" i="6"/>
  <c r="W163" i="5"/>
  <c r="O163" i="5"/>
  <c r="G163" i="5"/>
  <c r="A477" i="6"/>
  <c r="U163" i="5"/>
  <c r="M163" i="5"/>
  <c r="E163" i="5"/>
  <c r="N163" i="5"/>
  <c r="A491" i="6"/>
  <c r="W167" i="5"/>
  <c r="O167" i="5"/>
  <c r="G167" i="5"/>
  <c r="U167" i="5"/>
  <c r="M167" i="5"/>
  <c r="E167" i="5"/>
  <c r="N167" i="5"/>
  <c r="A501" i="6"/>
  <c r="W171" i="5"/>
  <c r="O171" i="5"/>
  <c r="G171" i="5"/>
  <c r="U171" i="5"/>
  <c r="M171" i="5"/>
  <c r="E171" i="5"/>
  <c r="N171" i="5"/>
  <c r="A513" i="6"/>
  <c r="A515" i="6"/>
  <c r="W175" i="5"/>
  <c r="O175" i="5"/>
  <c r="G175" i="5"/>
  <c r="A514" i="6"/>
  <c r="U175" i="5"/>
  <c r="M175" i="5"/>
  <c r="E175" i="5"/>
  <c r="N175" i="5"/>
  <c r="A525" i="6"/>
  <c r="A527" i="6"/>
  <c r="W179" i="5"/>
  <c r="O179" i="5"/>
  <c r="G179" i="5"/>
  <c r="U179" i="5"/>
  <c r="M179" i="5"/>
  <c r="E179" i="5"/>
  <c r="N179" i="5"/>
  <c r="A538" i="6"/>
  <c r="A537" i="6"/>
  <c r="W183" i="5"/>
  <c r="O183" i="5"/>
  <c r="G183" i="5"/>
  <c r="U183" i="5"/>
  <c r="M183" i="5"/>
  <c r="E183" i="5"/>
  <c r="N183" i="5"/>
  <c r="A550" i="6"/>
  <c r="A549" i="6"/>
  <c r="A551" i="6"/>
  <c r="W187" i="5"/>
  <c r="O187" i="5"/>
  <c r="G187" i="5"/>
  <c r="U187" i="5"/>
  <c r="M187" i="5"/>
  <c r="E187" i="5"/>
  <c r="N187" i="5"/>
  <c r="A562" i="6"/>
  <c r="A563" i="6"/>
  <c r="A561" i="6"/>
  <c r="W191" i="5"/>
  <c r="O191" i="5"/>
  <c r="G191" i="5"/>
  <c r="U191" i="5"/>
  <c r="M191" i="5"/>
  <c r="E191" i="5"/>
  <c r="N191" i="5"/>
  <c r="A574" i="6"/>
  <c r="A573" i="6"/>
  <c r="W195" i="5"/>
  <c r="O195" i="5"/>
  <c r="G195" i="5"/>
  <c r="U195" i="5"/>
  <c r="M195" i="5"/>
  <c r="E195" i="5"/>
  <c r="N195" i="5"/>
  <c r="A586" i="6"/>
  <c r="A587" i="6"/>
  <c r="A585" i="6"/>
  <c r="W199" i="5"/>
  <c r="O199" i="5"/>
  <c r="G199" i="5"/>
  <c r="U199" i="5"/>
  <c r="M199" i="5"/>
  <c r="E199" i="5"/>
  <c r="N199" i="5"/>
  <c r="A597" i="6"/>
  <c r="A599" i="6"/>
  <c r="A598" i="6"/>
  <c r="W203" i="5"/>
  <c r="O203" i="5"/>
  <c r="G203" i="5"/>
  <c r="U203" i="5"/>
  <c r="M203" i="5"/>
  <c r="E203" i="5"/>
  <c r="N203" i="5"/>
  <c r="A355" i="6"/>
  <c r="A367" i="6"/>
  <c r="C382" i="6"/>
  <c r="A393" i="6"/>
  <c r="C402" i="6"/>
  <c r="A418" i="6"/>
  <c r="A430" i="6"/>
  <c r="B439" i="6"/>
  <c r="D442" i="6"/>
  <c r="D479" i="6"/>
  <c r="A489" i="6"/>
  <c r="D503" i="6"/>
  <c r="A511" i="6"/>
  <c r="C582" i="6"/>
  <c r="N7" i="8"/>
  <c r="B22" i="4" s="1"/>
  <c r="M8" i="8"/>
  <c r="O8" i="8" s="1"/>
  <c r="B30" i="4" s="1"/>
  <c r="L8" i="8"/>
  <c r="B15" i="10"/>
  <c r="L6" i="8"/>
  <c r="N6" i="8" s="1"/>
  <c r="B21" i="4" s="1"/>
  <c r="H558" i="6" l="1"/>
  <c r="C558" i="6"/>
  <c r="H346" i="6"/>
  <c r="B346" i="6"/>
  <c r="G503" i="6"/>
  <c r="E503" i="6"/>
  <c r="E558" i="6"/>
  <c r="B591" i="6"/>
  <c r="G310" i="6"/>
  <c r="B404" i="6"/>
  <c r="B413" i="6"/>
  <c r="D318" i="6"/>
  <c r="H413" i="6"/>
  <c r="C591" i="6"/>
  <c r="G318" i="6"/>
  <c r="D591" i="6"/>
  <c r="E358" i="6"/>
  <c r="H323" i="6"/>
  <c r="H493" i="6"/>
  <c r="F318" i="6"/>
  <c r="G591" i="6"/>
  <c r="C358" i="6"/>
  <c r="C318" i="6"/>
  <c r="D413" i="6"/>
  <c r="G358" i="6"/>
  <c r="F323" i="6"/>
  <c r="G493" i="6"/>
  <c r="E532" i="6"/>
  <c r="C532" i="6"/>
  <c r="B532" i="6"/>
  <c r="G532" i="6"/>
  <c r="H532" i="6"/>
  <c r="D532" i="6"/>
  <c r="F532" i="6"/>
  <c r="H411" i="6"/>
  <c r="C411" i="6"/>
  <c r="F411" i="6"/>
  <c r="G411" i="6"/>
  <c r="D411" i="6"/>
  <c r="B411" i="6"/>
  <c r="E411" i="6"/>
  <c r="H398" i="6"/>
  <c r="D398" i="6"/>
  <c r="B398" i="6"/>
  <c r="C398" i="6"/>
  <c r="F398" i="6"/>
  <c r="G398" i="6"/>
  <c r="E398" i="6"/>
  <c r="F504" i="6"/>
  <c r="E504" i="6"/>
  <c r="H504" i="6"/>
  <c r="D504" i="6"/>
  <c r="C504" i="6"/>
  <c r="G504" i="6"/>
  <c r="B504" i="6"/>
  <c r="F349" i="6"/>
  <c r="D349" i="6"/>
  <c r="C349" i="6"/>
  <c r="H349" i="6"/>
  <c r="G349" i="6"/>
  <c r="B349" i="6"/>
  <c r="E349" i="6"/>
  <c r="H472" i="6"/>
  <c r="F472" i="6"/>
  <c r="E472" i="6"/>
  <c r="C472" i="6"/>
  <c r="G472" i="6"/>
  <c r="B472" i="6"/>
  <c r="D472" i="6"/>
  <c r="H459" i="6"/>
  <c r="E459" i="6"/>
  <c r="C459" i="6"/>
  <c r="B459" i="6"/>
  <c r="G459" i="6"/>
  <c r="F459" i="6"/>
  <c r="D459" i="6"/>
  <c r="E579" i="6"/>
  <c r="B579" i="6"/>
  <c r="H579" i="6"/>
  <c r="F579" i="6"/>
  <c r="D579" i="6"/>
  <c r="G579" i="6"/>
  <c r="C579" i="6"/>
  <c r="E552" i="6"/>
  <c r="H552" i="6"/>
  <c r="F552" i="6"/>
  <c r="C552" i="6"/>
  <c r="G552" i="6"/>
  <c r="B552" i="6"/>
  <c r="D552" i="6"/>
  <c r="F312" i="6"/>
  <c r="G312" i="6"/>
  <c r="D312" i="6"/>
  <c r="B312" i="6"/>
  <c r="H312" i="6"/>
  <c r="C312" i="6"/>
  <c r="E312" i="6"/>
  <c r="H464" i="6"/>
  <c r="F464" i="6"/>
  <c r="G464" i="6"/>
  <c r="D464" i="6"/>
  <c r="C464" i="6"/>
  <c r="B464" i="6"/>
  <c r="E464" i="6"/>
  <c r="F368" i="6"/>
  <c r="D368" i="6"/>
  <c r="C368" i="6"/>
  <c r="H368" i="6"/>
  <c r="G368" i="6"/>
  <c r="B368" i="6"/>
  <c r="E368" i="6"/>
  <c r="E578" i="6"/>
  <c r="G578" i="6"/>
  <c r="D578" i="6"/>
  <c r="C578" i="6"/>
  <c r="H578" i="6"/>
  <c r="B578" i="6"/>
  <c r="F578" i="6"/>
  <c r="H376" i="6"/>
  <c r="G376" i="6"/>
  <c r="D376" i="6"/>
  <c r="B376" i="6"/>
  <c r="F376" i="6"/>
  <c r="E376" i="6"/>
  <c r="C376" i="6"/>
  <c r="E492" i="6"/>
  <c r="B492" i="6"/>
  <c r="D492" i="6"/>
  <c r="F492" i="6"/>
  <c r="G492" i="6"/>
  <c r="C492" i="6"/>
  <c r="H492" i="6"/>
  <c r="H489" i="6"/>
  <c r="G489" i="6"/>
  <c r="E489" i="6"/>
  <c r="C489" i="6"/>
  <c r="B489" i="6"/>
  <c r="F489" i="6"/>
  <c r="D489" i="6"/>
  <c r="H466" i="6"/>
  <c r="B466" i="6"/>
  <c r="C466" i="6"/>
  <c r="G466" i="6"/>
  <c r="F466" i="6"/>
  <c r="E466" i="6"/>
  <c r="D466" i="6"/>
  <c r="H395" i="6"/>
  <c r="E395" i="6"/>
  <c r="C395" i="6"/>
  <c r="F395" i="6"/>
  <c r="G395" i="6"/>
  <c r="D395" i="6"/>
  <c r="B395" i="6"/>
  <c r="E499" i="6"/>
  <c r="H499" i="6"/>
  <c r="F499" i="6"/>
  <c r="D499" i="6"/>
  <c r="B499" i="6"/>
  <c r="C499" i="6"/>
  <c r="G499" i="6"/>
  <c r="E564" i="6"/>
  <c r="C564" i="6"/>
  <c r="D564" i="6"/>
  <c r="B564" i="6"/>
  <c r="G564" i="6"/>
  <c r="H564" i="6"/>
  <c r="F564" i="6"/>
  <c r="H393" i="6"/>
  <c r="B393" i="6"/>
  <c r="C393" i="6"/>
  <c r="G393" i="6"/>
  <c r="E393" i="6"/>
  <c r="D393" i="6"/>
  <c r="F393" i="6"/>
  <c r="E574" i="6"/>
  <c r="F574" i="6"/>
  <c r="H574" i="6"/>
  <c r="D574" i="6"/>
  <c r="C574" i="6"/>
  <c r="B574" i="6"/>
  <c r="G574" i="6"/>
  <c r="F501" i="6"/>
  <c r="E501" i="6"/>
  <c r="C501" i="6"/>
  <c r="G501" i="6"/>
  <c r="D501" i="6"/>
  <c r="H501" i="6"/>
  <c r="B501" i="6"/>
  <c r="E500" i="6"/>
  <c r="B500" i="6"/>
  <c r="C500" i="6"/>
  <c r="F500" i="6"/>
  <c r="G500" i="6"/>
  <c r="D500" i="6"/>
  <c r="H500" i="6"/>
  <c r="H414" i="6"/>
  <c r="D414" i="6"/>
  <c r="G414" i="6"/>
  <c r="F414" i="6"/>
  <c r="C414" i="6"/>
  <c r="E414" i="6"/>
  <c r="B414" i="6"/>
  <c r="D521" i="6"/>
  <c r="G521" i="6"/>
  <c r="C521" i="6"/>
  <c r="H521" i="6"/>
  <c r="E521" i="6"/>
  <c r="F521" i="6"/>
  <c r="B521" i="6"/>
  <c r="E553" i="6"/>
  <c r="H553" i="6"/>
  <c r="B553" i="6"/>
  <c r="F553" i="6"/>
  <c r="D553" i="6"/>
  <c r="C553" i="6"/>
  <c r="G553" i="6"/>
  <c r="N8" i="8"/>
  <c r="B23" i="4" s="1"/>
  <c r="F355" i="6"/>
  <c r="D355" i="6"/>
  <c r="G355" i="6"/>
  <c r="H355" i="6"/>
  <c r="C355" i="6"/>
  <c r="E355" i="6"/>
  <c r="B355" i="6"/>
  <c r="E598" i="6"/>
  <c r="F598" i="6"/>
  <c r="C598" i="6"/>
  <c r="D598" i="6"/>
  <c r="H598" i="6"/>
  <c r="B598" i="6"/>
  <c r="G598" i="6"/>
  <c r="E549" i="6"/>
  <c r="D549" i="6"/>
  <c r="B549" i="6"/>
  <c r="G549" i="6"/>
  <c r="C549" i="6"/>
  <c r="H549" i="6"/>
  <c r="F549" i="6"/>
  <c r="D514" i="6"/>
  <c r="H514" i="6"/>
  <c r="C514" i="6"/>
  <c r="F514" i="6"/>
  <c r="B514" i="6"/>
  <c r="G514" i="6"/>
  <c r="E514" i="6"/>
  <c r="H453" i="6"/>
  <c r="C453" i="6"/>
  <c r="G453" i="6"/>
  <c r="E453" i="6"/>
  <c r="F453" i="6"/>
  <c r="D453" i="6"/>
  <c r="B453" i="6"/>
  <c r="H441" i="6"/>
  <c r="G441" i="6"/>
  <c r="C441" i="6"/>
  <c r="F441" i="6"/>
  <c r="D441" i="6"/>
  <c r="E441" i="6"/>
  <c r="B441" i="6"/>
  <c r="H405" i="6"/>
  <c r="C405" i="6"/>
  <c r="F405" i="6"/>
  <c r="B405" i="6"/>
  <c r="E405" i="6"/>
  <c r="D405" i="6"/>
  <c r="G405" i="6"/>
  <c r="F357" i="6"/>
  <c r="D357" i="6"/>
  <c r="C357" i="6"/>
  <c r="G357" i="6"/>
  <c r="B357" i="6"/>
  <c r="E357" i="6"/>
  <c r="H357" i="6"/>
  <c r="F347" i="6"/>
  <c r="D347" i="6"/>
  <c r="G347" i="6"/>
  <c r="H347" i="6"/>
  <c r="E347" i="6"/>
  <c r="C347" i="6"/>
  <c r="B347" i="6"/>
  <c r="F309" i="6"/>
  <c r="E309" i="6"/>
  <c r="C309" i="6"/>
  <c r="D309" i="6"/>
  <c r="B309" i="6"/>
  <c r="G309" i="6"/>
  <c r="H309" i="6"/>
  <c r="E596" i="6"/>
  <c r="C596" i="6"/>
  <c r="D596" i="6"/>
  <c r="G596" i="6"/>
  <c r="F596" i="6"/>
  <c r="H596" i="6"/>
  <c r="B596" i="6"/>
  <c r="E560" i="6"/>
  <c r="H560" i="6"/>
  <c r="D560" i="6"/>
  <c r="F560" i="6"/>
  <c r="G560" i="6"/>
  <c r="B560" i="6"/>
  <c r="C560" i="6"/>
  <c r="D524" i="6"/>
  <c r="G524" i="6"/>
  <c r="F524" i="6"/>
  <c r="E524" i="6"/>
  <c r="B524" i="6"/>
  <c r="C524" i="6"/>
  <c r="H524" i="6"/>
  <c r="H487" i="6"/>
  <c r="E487" i="6"/>
  <c r="B487" i="6"/>
  <c r="G487" i="6"/>
  <c r="F487" i="6"/>
  <c r="D487" i="6"/>
  <c r="C487" i="6"/>
  <c r="H451" i="6"/>
  <c r="F451" i="6"/>
  <c r="D451" i="6"/>
  <c r="G451" i="6"/>
  <c r="C451" i="6"/>
  <c r="E451" i="6"/>
  <c r="B451" i="6"/>
  <c r="H426" i="6"/>
  <c r="G426" i="6"/>
  <c r="E426" i="6"/>
  <c r="B426" i="6"/>
  <c r="D426" i="6"/>
  <c r="F426" i="6"/>
  <c r="C426" i="6"/>
  <c r="H392" i="6"/>
  <c r="G392" i="6"/>
  <c r="F392" i="6"/>
  <c r="B392" i="6"/>
  <c r="E392" i="6"/>
  <c r="D392" i="6"/>
  <c r="C392" i="6"/>
  <c r="E569" i="6"/>
  <c r="F569" i="6"/>
  <c r="D569" i="6"/>
  <c r="C569" i="6"/>
  <c r="H569" i="6"/>
  <c r="B569" i="6"/>
  <c r="G569" i="6"/>
  <c r="E543" i="6"/>
  <c r="G543" i="6"/>
  <c r="D543" i="6"/>
  <c r="H543" i="6"/>
  <c r="B543" i="6"/>
  <c r="F543" i="6"/>
  <c r="C543" i="6"/>
  <c r="E530" i="6"/>
  <c r="D530" i="6"/>
  <c r="G530" i="6"/>
  <c r="B530" i="6"/>
  <c r="F530" i="6"/>
  <c r="C530" i="6"/>
  <c r="H530" i="6"/>
  <c r="H387" i="6"/>
  <c r="D387" i="6"/>
  <c r="B387" i="6"/>
  <c r="G387" i="6"/>
  <c r="E387" i="6"/>
  <c r="F387" i="6"/>
  <c r="C387" i="6"/>
  <c r="E555" i="6"/>
  <c r="B555" i="6"/>
  <c r="C555" i="6"/>
  <c r="G555" i="6"/>
  <c r="H555" i="6"/>
  <c r="F555" i="6"/>
  <c r="D555" i="6"/>
  <c r="H469" i="6"/>
  <c r="C469" i="6"/>
  <c r="F469" i="6"/>
  <c r="E469" i="6"/>
  <c r="B469" i="6"/>
  <c r="G469" i="6"/>
  <c r="D469" i="6"/>
  <c r="H397" i="6"/>
  <c r="C397" i="6"/>
  <c r="G397" i="6"/>
  <c r="F397" i="6"/>
  <c r="D397" i="6"/>
  <c r="B397" i="6"/>
  <c r="E397" i="6"/>
  <c r="H435" i="6"/>
  <c r="F435" i="6"/>
  <c r="E435" i="6"/>
  <c r="C435" i="6"/>
  <c r="G435" i="6"/>
  <c r="D435" i="6"/>
  <c r="B435" i="6"/>
  <c r="H424" i="6"/>
  <c r="F424" i="6"/>
  <c r="C424" i="6"/>
  <c r="D424" i="6"/>
  <c r="B424" i="6"/>
  <c r="G424" i="6"/>
  <c r="E424" i="6"/>
  <c r="F339" i="6"/>
  <c r="D339" i="6"/>
  <c r="G339" i="6"/>
  <c r="H339" i="6"/>
  <c r="C339" i="6"/>
  <c r="B339" i="6"/>
  <c r="E339" i="6"/>
  <c r="F341" i="6"/>
  <c r="D341" i="6"/>
  <c r="C341" i="6"/>
  <c r="G341" i="6"/>
  <c r="B341" i="6"/>
  <c r="H341" i="6"/>
  <c r="E341" i="6"/>
  <c r="D517" i="6"/>
  <c r="B517" i="6"/>
  <c r="F517" i="6"/>
  <c r="E517" i="6"/>
  <c r="G517" i="6"/>
  <c r="H517" i="6"/>
  <c r="C517" i="6"/>
  <c r="F326" i="6"/>
  <c r="D326" i="6"/>
  <c r="G326" i="6"/>
  <c r="C326" i="6"/>
  <c r="E326" i="6"/>
  <c r="B326" i="6"/>
  <c r="H326" i="6"/>
  <c r="F361" i="6"/>
  <c r="D361" i="6"/>
  <c r="C361" i="6"/>
  <c r="B361" i="6"/>
  <c r="H361" i="6"/>
  <c r="G361" i="6"/>
  <c r="E361" i="6"/>
  <c r="H448" i="6"/>
  <c r="F448" i="6"/>
  <c r="G448" i="6"/>
  <c r="E448" i="6"/>
  <c r="C448" i="6"/>
  <c r="D448" i="6"/>
  <c r="B448" i="6"/>
  <c r="E554" i="6"/>
  <c r="F554" i="6"/>
  <c r="B554" i="6"/>
  <c r="H554" i="6"/>
  <c r="C554" i="6"/>
  <c r="D554" i="6"/>
  <c r="G554" i="6"/>
  <c r="E600" i="6"/>
  <c r="H600" i="6"/>
  <c r="G600" i="6"/>
  <c r="B600" i="6"/>
  <c r="D600" i="6"/>
  <c r="C600" i="6"/>
  <c r="F600" i="6"/>
  <c r="E581" i="6"/>
  <c r="D581" i="6"/>
  <c r="C581" i="6"/>
  <c r="F581" i="6"/>
  <c r="B581" i="6"/>
  <c r="H581" i="6"/>
  <c r="G581" i="6"/>
  <c r="E491" i="6"/>
  <c r="B491" i="6"/>
  <c r="H491" i="6"/>
  <c r="F491" i="6"/>
  <c r="C491" i="6"/>
  <c r="G491" i="6"/>
  <c r="D491" i="6"/>
  <c r="H394" i="6"/>
  <c r="C394" i="6"/>
  <c r="F394" i="6"/>
  <c r="D394" i="6"/>
  <c r="G394" i="6"/>
  <c r="E394" i="6"/>
  <c r="B394" i="6"/>
  <c r="F364" i="6"/>
  <c r="D364" i="6"/>
  <c r="G364" i="6"/>
  <c r="C364" i="6"/>
  <c r="E364" i="6"/>
  <c r="B364" i="6"/>
  <c r="H364" i="6"/>
  <c r="E589" i="6"/>
  <c r="D589" i="6"/>
  <c r="B589" i="6"/>
  <c r="H589" i="6"/>
  <c r="G589" i="6"/>
  <c r="C589" i="6"/>
  <c r="F589" i="6"/>
  <c r="E563" i="6"/>
  <c r="B563" i="6"/>
  <c r="F563" i="6"/>
  <c r="C563" i="6"/>
  <c r="D563" i="6"/>
  <c r="H563" i="6"/>
  <c r="G563" i="6"/>
  <c r="H478" i="6"/>
  <c r="D478" i="6"/>
  <c r="G478" i="6"/>
  <c r="C478" i="6"/>
  <c r="F478" i="6"/>
  <c r="E478" i="6"/>
  <c r="B478" i="6"/>
  <c r="F370" i="6"/>
  <c r="D370" i="6"/>
  <c r="G370" i="6"/>
  <c r="C370" i="6"/>
  <c r="E370" i="6"/>
  <c r="B370" i="6"/>
  <c r="H370" i="6"/>
  <c r="F354" i="6"/>
  <c r="D354" i="6"/>
  <c r="G354" i="6"/>
  <c r="C354" i="6"/>
  <c r="H354" i="6"/>
  <c r="E354" i="6"/>
  <c r="B354" i="6"/>
  <c r="D520" i="6"/>
  <c r="F520" i="6"/>
  <c r="H520" i="6"/>
  <c r="E520" i="6"/>
  <c r="C520" i="6"/>
  <c r="G520" i="6"/>
  <c r="B520" i="6"/>
  <c r="F505" i="6"/>
  <c r="C505" i="6"/>
  <c r="B505" i="6"/>
  <c r="E505" i="6"/>
  <c r="H505" i="6"/>
  <c r="G505" i="6"/>
  <c r="D505" i="6"/>
  <c r="H437" i="6"/>
  <c r="C437" i="6"/>
  <c r="D437" i="6"/>
  <c r="G437" i="6"/>
  <c r="E437" i="6"/>
  <c r="F437" i="6"/>
  <c r="B437" i="6"/>
  <c r="F348" i="6"/>
  <c r="D348" i="6"/>
  <c r="G348" i="6"/>
  <c r="C348" i="6"/>
  <c r="H348" i="6"/>
  <c r="E348" i="6"/>
  <c r="B348" i="6"/>
  <c r="F367" i="6"/>
  <c r="D367" i="6"/>
  <c r="G367" i="6"/>
  <c r="H367" i="6"/>
  <c r="E367" i="6"/>
  <c r="C367" i="6"/>
  <c r="B367" i="6"/>
  <c r="E551" i="6"/>
  <c r="G551" i="6"/>
  <c r="C551" i="6"/>
  <c r="F551" i="6"/>
  <c r="D551" i="6"/>
  <c r="B551" i="6"/>
  <c r="H551" i="6"/>
  <c r="H467" i="6"/>
  <c r="D467" i="6"/>
  <c r="B467" i="6"/>
  <c r="G467" i="6"/>
  <c r="E467" i="6"/>
  <c r="F467" i="6"/>
  <c r="C467" i="6"/>
  <c r="F369" i="6"/>
  <c r="D369" i="6"/>
  <c r="C369" i="6"/>
  <c r="G369" i="6"/>
  <c r="B369" i="6"/>
  <c r="H369" i="6"/>
  <c r="E369" i="6"/>
  <c r="E570" i="6"/>
  <c r="H570" i="6"/>
  <c r="D570" i="6"/>
  <c r="G570" i="6"/>
  <c r="F570" i="6"/>
  <c r="B570" i="6"/>
  <c r="C570" i="6"/>
  <c r="E548" i="6"/>
  <c r="C548" i="6"/>
  <c r="G548" i="6"/>
  <c r="F548" i="6"/>
  <c r="B548" i="6"/>
  <c r="H548" i="6"/>
  <c r="D548" i="6"/>
  <c r="H488" i="6"/>
  <c r="F488" i="6"/>
  <c r="C488" i="6"/>
  <c r="G488" i="6"/>
  <c r="D488" i="6"/>
  <c r="E488" i="6"/>
  <c r="B488" i="6"/>
  <c r="F356" i="6"/>
  <c r="D356" i="6"/>
  <c r="H356" i="6"/>
  <c r="G356" i="6"/>
  <c r="E356" i="6"/>
  <c r="C356" i="6"/>
  <c r="B356" i="6"/>
  <c r="E545" i="6"/>
  <c r="F545" i="6"/>
  <c r="D545" i="6"/>
  <c r="B545" i="6"/>
  <c r="C545" i="6"/>
  <c r="G545" i="6"/>
  <c r="H545" i="6"/>
  <c r="E603" i="6"/>
  <c r="B603" i="6"/>
  <c r="F603" i="6"/>
  <c r="H603" i="6"/>
  <c r="D603" i="6"/>
  <c r="G603" i="6"/>
  <c r="C603" i="6"/>
  <c r="E590" i="6"/>
  <c r="F590" i="6"/>
  <c r="D590" i="6"/>
  <c r="C590" i="6"/>
  <c r="B590" i="6"/>
  <c r="G590" i="6"/>
  <c r="H590" i="6"/>
  <c r="E542" i="6"/>
  <c r="F542" i="6"/>
  <c r="B542" i="6"/>
  <c r="G542" i="6"/>
  <c r="D542" i="6"/>
  <c r="C542" i="6"/>
  <c r="H542" i="6"/>
  <c r="E568" i="6"/>
  <c r="H568" i="6"/>
  <c r="C568" i="6"/>
  <c r="F568" i="6"/>
  <c r="D568" i="6"/>
  <c r="G568" i="6"/>
  <c r="B568" i="6"/>
  <c r="H480" i="6"/>
  <c r="F480" i="6"/>
  <c r="D480" i="6"/>
  <c r="B480" i="6"/>
  <c r="C480" i="6"/>
  <c r="E480" i="6"/>
  <c r="G480" i="6"/>
  <c r="H401" i="6"/>
  <c r="G401" i="6"/>
  <c r="F401" i="6"/>
  <c r="E401" i="6"/>
  <c r="C401" i="6"/>
  <c r="D401" i="6"/>
  <c r="B401" i="6"/>
  <c r="E557" i="6"/>
  <c r="D557" i="6"/>
  <c r="H557" i="6"/>
  <c r="F557" i="6"/>
  <c r="C557" i="6"/>
  <c r="B557" i="6"/>
  <c r="G557" i="6"/>
  <c r="H433" i="6"/>
  <c r="G433" i="6"/>
  <c r="D433" i="6"/>
  <c r="B433" i="6"/>
  <c r="E433" i="6"/>
  <c r="C433" i="6"/>
  <c r="F433" i="6"/>
  <c r="H458" i="6"/>
  <c r="C458" i="6"/>
  <c r="F458" i="6"/>
  <c r="G458" i="6"/>
  <c r="D458" i="6"/>
  <c r="E458" i="6"/>
  <c r="B458" i="6"/>
  <c r="H422" i="6"/>
  <c r="D422" i="6"/>
  <c r="F422" i="6"/>
  <c r="E422" i="6"/>
  <c r="B422" i="6"/>
  <c r="G422" i="6"/>
  <c r="C422" i="6"/>
  <c r="F317" i="6"/>
  <c r="E317" i="6"/>
  <c r="C317" i="6"/>
  <c r="D317" i="6"/>
  <c r="B317" i="6"/>
  <c r="H317" i="6"/>
  <c r="G317" i="6"/>
  <c r="H396" i="6"/>
  <c r="B396" i="6"/>
  <c r="G396" i="6"/>
  <c r="E396" i="6"/>
  <c r="D396" i="6"/>
  <c r="C396" i="6"/>
  <c r="F396" i="6"/>
  <c r="H423" i="6"/>
  <c r="E423" i="6"/>
  <c r="G423" i="6"/>
  <c r="D423" i="6"/>
  <c r="F423" i="6"/>
  <c r="C423" i="6"/>
  <c r="B423" i="6"/>
  <c r="F350" i="6"/>
  <c r="D350" i="6"/>
  <c r="G350" i="6"/>
  <c r="C350" i="6"/>
  <c r="E350" i="6"/>
  <c r="B350" i="6"/>
  <c r="H350" i="6"/>
  <c r="F340" i="6"/>
  <c r="D340" i="6"/>
  <c r="G340" i="6"/>
  <c r="E340" i="6"/>
  <c r="C340" i="6"/>
  <c r="B340" i="6"/>
  <c r="H340" i="6"/>
  <c r="F338" i="6"/>
  <c r="D338" i="6"/>
  <c r="G338" i="6"/>
  <c r="C338" i="6"/>
  <c r="E338" i="6"/>
  <c r="B338" i="6"/>
  <c r="H338" i="6"/>
  <c r="D516" i="6"/>
  <c r="H516" i="6"/>
  <c r="B516" i="6"/>
  <c r="G516" i="6"/>
  <c r="F516" i="6"/>
  <c r="C516" i="6"/>
  <c r="E516" i="6"/>
  <c r="F325" i="6"/>
  <c r="D325" i="6"/>
  <c r="C325" i="6"/>
  <c r="G325" i="6"/>
  <c r="B325" i="6"/>
  <c r="H325" i="6"/>
  <c r="E325" i="6"/>
  <c r="H449" i="6"/>
  <c r="G449" i="6"/>
  <c r="B449" i="6"/>
  <c r="E449" i="6"/>
  <c r="C449" i="6"/>
  <c r="F449" i="6"/>
  <c r="D449" i="6"/>
  <c r="H473" i="6"/>
  <c r="G473" i="6"/>
  <c r="E473" i="6"/>
  <c r="B473" i="6"/>
  <c r="D473" i="6"/>
  <c r="C473" i="6"/>
  <c r="F473" i="6"/>
  <c r="F362" i="6"/>
  <c r="D362" i="6"/>
  <c r="G362" i="6"/>
  <c r="C362" i="6"/>
  <c r="E362" i="6"/>
  <c r="H362" i="6"/>
  <c r="B362" i="6"/>
  <c r="F360" i="6"/>
  <c r="D360" i="6"/>
  <c r="G360" i="6"/>
  <c r="E360" i="6"/>
  <c r="C360" i="6"/>
  <c r="H360" i="6"/>
  <c r="B360" i="6"/>
  <c r="H447" i="6"/>
  <c r="E447" i="6"/>
  <c r="G447" i="6"/>
  <c r="D447" i="6"/>
  <c r="C447" i="6"/>
  <c r="F447" i="6"/>
  <c r="B447" i="6"/>
  <c r="E601" i="6"/>
  <c r="G601" i="6"/>
  <c r="F601" i="6"/>
  <c r="B601" i="6"/>
  <c r="H601" i="6"/>
  <c r="C601" i="6"/>
  <c r="D601" i="6"/>
  <c r="E580" i="6"/>
  <c r="C580" i="6"/>
  <c r="D580" i="6"/>
  <c r="H580" i="6"/>
  <c r="F580" i="6"/>
  <c r="B580" i="6"/>
  <c r="G580" i="6"/>
  <c r="F314" i="6"/>
  <c r="B314" i="6"/>
  <c r="H314" i="6"/>
  <c r="G314" i="6"/>
  <c r="E314" i="6"/>
  <c r="D314" i="6"/>
  <c r="C314" i="6"/>
  <c r="E561" i="6"/>
  <c r="G561" i="6"/>
  <c r="B561" i="6"/>
  <c r="C561" i="6"/>
  <c r="F561" i="6"/>
  <c r="D561" i="6"/>
  <c r="H561" i="6"/>
  <c r="D513" i="6"/>
  <c r="G513" i="6"/>
  <c r="B513" i="6"/>
  <c r="F513" i="6"/>
  <c r="E513" i="6"/>
  <c r="H513" i="6"/>
  <c r="C513" i="6"/>
  <c r="H406" i="6"/>
  <c r="D406" i="6"/>
  <c r="G406" i="6"/>
  <c r="E406" i="6"/>
  <c r="F406" i="6"/>
  <c r="C406" i="6"/>
  <c r="B406" i="6"/>
  <c r="E572" i="6"/>
  <c r="C572" i="6"/>
  <c r="B572" i="6"/>
  <c r="F572" i="6"/>
  <c r="H572" i="6"/>
  <c r="D572" i="6"/>
  <c r="G572" i="6"/>
  <c r="F343" i="6"/>
  <c r="D343" i="6"/>
  <c r="G343" i="6"/>
  <c r="C343" i="6"/>
  <c r="B343" i="6"/>
  <c r="H343" i="6"/>
  <c r="E343" i="6"/>
  <c r="B38" i="4"/>
  <c r="H381" i="6"/>
  <c r="F381" i="6"/>
  <c r="D381" i="6"/>
  <c r="G381" i="6"/>
  <c r="C381" i="6"/>
  <c r="E381" i="6"/>
  <c r="B381" i="6"/>
  <c r="F334" i="6"/>
  <c r="D334" i="6"/>
  <c r="G334" i="6"/>
  <c r="C334" i="6"/>
  <c r="E334" i="6"/>
  <c r="B334" i="6"/>
  <c r="H334" i="6"/>
  <c r="E571" i="6"/>
  <c r="B571" i="6"/>
  <c r="C571" i="6"/>
  <c r="H571" i="6"/>
  <c r="F571" i="6"/>
  <c r="D571" i="6"/>
  <c r="G571" i="6"/>
  <c r="E536" i="6"/>
  <c r="H536" i="6"/>
  <c r="F536" i="6"/>
  <c r="C536" i="6"/>
  <c r="D536" i="6"/>
  <c r="B536" i="6"/>
  <c r="G536" i="6"/>
  <c r="H452" i="6"/>
  <c r="B452" i="6"/>
  <c r="F452" i="6"/>
  <c r="C452" i="6"/>
  <c r="G452" i="6"/>
  <c r="E452" i="6"/>
  <c r="D452" i="6"/>
  <c r="H403" i="6"/>
  <c r="D403" i="6"/>
  <c r="B403" i="6"/>
  <c r="E403" i="6"/>
  <c r="C403" i="6"/>
  <c r="G403" i="6"/>
  <c r="F403" i="6"/>
  <c r="F307" i="6"/>
  <c r="C307" i="6"/>
  <c r="H307" i="6"/>
  <c r="E307" i="6"/>
  <c r="B307" i="6"/>
  <c r="G307" i="6"/>
  <c r="D307" i="6"/>
  <c r="D519" i="6"/>
  <c r="E519" i="6"/>
  <c r="F519" i="6"/>
  <c r="C519" i="6"/>
  <c r="G519" i="6"/>
  <c r="H519" i="6"/>
  <c r="B519" i="6"/>
  <c r="E528" i="6"/>
  <c r="H528" i="6"/>
  <c r="D528" i="6"/>
  <c r="G528" i="6"/>
  <c r="C528" i="6"/>
  <c r="F528" i="6"/>
  <c r="B528" i="6"/>
  <c r="H434" i="6"/>
  <c r="F434" i="6"/>
  <c r="D434" i="6"/>
  <c r="G434" i="6"/>
  <c r="C434" i="6"/>
  <c r="B434" i="6"/>
  <c r="E434" i="6"/>
  <c r="E588" i="6"/>
  <c r="C588" i="6"/>
  <c r="H588" i="6"/>
  <c r="B588" i="6"/>
  <c r="F588" i="6"/>
  <c r="D588" i="6"/>
  <c r="G588" i="6"/>
  <c r="E541" i="6"/>
  <c r="D541" i="6"/>
  <c r="B541" i="6"/>
  <c r="C541" i="6"/>
  <c r="G541" i="6"/>
  <c r="H541" i="6"/>
  <c r="F541" i="6"/>
  <c r="E494" i="6"/>
  <c r="D494" i="6"/>
  <c r="F494" i="6"/>
  <c r="B494" i="6"/>
  <c r="C494" i="6"/>
  <c r="H494" i="6"/>
  <c r="G494" i="6"/>
  <c r="F327" i="6"/>
  <c r="D327" i="6"/>
  <c r="G327" i="6"/>
  <c r="C327" i="6"/>
  <c r="H327" i="6"/>
  <c r="E327" i="6"/>
  <c r="B327" i="6"/>
  <c r="E533" i="6"/>
  <c r="D533" i="6"/>
  <c r="G533" i="6"/>
  <c r="F533" i="6"/>
  <c r="C533" i="6"/>
  <c r="H533" i="6"/>
  <c r="B533" i="6"/>
  <c r="H386" i="6"/>
  <c r="C386" i="6"/>
  <c r="F386" i="6"/>
  <c r="G386" i="6"/>
  <c r="E386" i="6"/>
  <c r="B386" i="6"/>
  <c r="D386" i="6"/>
  <c r="E566" i="6"/>
  <c r="F566" i="6"/>
  <c r="D566" i="6"/>
  <c r="G566" i="6"/>
  <c r="B566" i="6"/>
  <c r="H566" i="6"/>
  <c r="C566" i="6"/>
  <c r="E562" i="6"/>
  <c r="B562" i="6"/>
  <c r="F562" i="6"/>
  <c r="G562" i="6"/>
  <c r="D562" i="6"/>
  <c r="C562" i="6"/>
  <c r="H562" i="6"/>
  <c r="H454" i="6"/>
  <c r="D454" i="6"/>
  <c r="C454" i="6"/>
  <c r="E454" i="6"/>
  <c r="G454" i="6"/>
  <c r="F454" i="6"/>
  <c r="B454" i="6"/>
  <c r="F319" i="6"/>
  <c r="D319" i="6"/>
  <c r="G319" i="6"/>
  <c r="H319" i="6"/>
  <c r="C319" i="6"/>
  <c r="B319" i="6"/>
  <c r="E319" i="6"/>
  <c r="D522" i="6"/>
  <c r="H522" i="6"/>
  <c r="B522" i="6"/>
  <c r="C522" i="6"/>
  <c r="G522" i="6"/>
  <c r="F522" i="6"/>
  <c r="E522" i="6"/>
  <c r="H450" i="6"/>
  <c r="D450" i="6"/>
  <c r="B450" i="6"/>
  <c r="E450" i="6"/>
  <c r="G450" i="6"/>
  <c r="C450" i="6"/>
  <c r="F450" i="6"/>
  <c r="H390" i="6"/>
  <c r="G390" i="6"/>
  <c r="E390" i="6"/>
  <c r="B390" i="6"/>
  <c r="D390" i="6"/>
  <c r="C390" i="6"/>
  <c r="F390" i="6"/>
  <c r="E529" i="6"/>
  <c r="B529" i="6"/>
  <c r="C529" i="6"/>
  <c r="F529" i="6"/>
  <c r="G529" i="6"/>
  <c r="H529" i="6"/>
  <c r="D529" i="6"/>
  <c r="E604" i="6"/>
  <c r="C604" i="6"/>
  <c r="H604" i="6"/>
  <c r="G604" i="6"/>
  <c r="F604" i="6"/>
  <c r="B604" i="6"/>
  <c r="D604" i="6"/>
  <c r="E602" i="6"/>
  <c r="C602" i="6"/>
  <c r="D602" i="6"/>
  <c r="G602" i="6"/>
  <c r="H602" i="6"/>
  <c r="F602" i="6"/>
  <c r="B602" i="6"/>
  <c r="F313" i="6"/>
  <c r="H313" i="6"/>
  <c r="E313" i="6"/>
  <c r="C313" i="6"/>
  <c r="B313" i="6"/>
  <c r="G313" i="6"/>
  <c r="D313" i="6"/>
  <c r="E587" i="6"/>
  <c r="B587" i="6"/>
  <c r="H587" i="6"/>
  <c r="D587" i="6"/>
  <c r="F587" i="6"/>
  <c r="G587" i="6"/>
  <c r="C587" i="6"/>
  <c r="E525" i="6"/>
  <c r="D525" i="6"/>
  <c r="B525" i="6"/>
  <c r="G525" i="6"/>
  <c r="C525" i="6"/>
  <c r="F525" i="6"/>
  <c r="H525" i="6"/>
  <c r="H419" i="6"/>
  <c r="B419" i="6"/>
  <c r="C419" i="6"/>
  <c r="E419" i="6"/>
  <c r="G419" i="6"/>
  <c r="F419" i="6"/>
  <c r="D419" i="6"/>
  <c r="F321" i="6"/>
  <c r="D321" i="6"/>
  <c r="C321" i="6"/>
  <c r="G321" i="6"/>
  <c r="H321" i="6"/>
  <c r="E321" i="6"/>
  <c r="B321" i="6"/>
  <c r="E583" i="6"/>
  <c r="G583" i="6"/>
  <c r="B583" i="6"/>
  <c r="C583" i="6"/>
  <c r="H583" i="6"/>
  <c r="D583" i="6"/>
  <c r="F583" i="6"/>
  <c r="E547" i="6"/>
  <c r="B547" i="6"/>
  <c r="D547" i="6"/>
  <c r="C547" i="6"/>
  <c r="G547" i="6"/>
  <c r="H547" i="6"/>
  <c r="F547" i="6"/>
  <c r="H475" i="6"/>
  <c r="C475" i="6"/>
  <c r="D475" i="6"/>
  <c r="G475" i="6"/>
  <c r="F475" i="6"/>
  <c r="B475" i="6"/>
  <c r="E475" i="6"/>
  <c r="F332" i="6"/>
  <c r="D332" i="6"/>
  <c r="G332" i="6"/>
  <c r="C332" i="6"/>
  <c r="H332" i="6"/>
  <c r="E332" i="6"/>
  <c r="B332" i="6"/>
  <c r="E593" i="6"/>
  <c r="B593" i="6"/>
  <c r="D593" i="6"/>
  <c r="C593" i="6"/>
  <c r="H593" i="6"/>
  <c r="G593" i="6"/>
  <c r="F593" i="6"/>
  <c r="E544" i="6"/>
  <c r="H544" i="6"/>
  <c r="G544" i="6"/>
  <c r="B544" i="6"/>
  <c r="F544" i="6"/>
  <c r="D544" i="6"/>
  <c r="C544" i="6"/>
  <c r="E497" i="6"/>
  <c r="H497" i="6"/>
  <c r="F497" i="6"/>
  <c r="B497" i="6"/>
  <c r="G497" i="6"/>
  <c r="C497" i="6"/>
  <c r="D497" i="6"/>
  <c r="H377" i="6"/>
  <c r="B377" i="6"/>
  <c r="G377" i="6"/>
  <c r="E377" i="6"/>
  <c r="F377" i="6"/>
  <c r="C377" i="6"/>
  <c r="D377" i="6"/>
  <c r="E576" i="6"/>
  <c r="H576" i="6"/>
  <c r="B576" i="6"/>
  <c r="C576" i="6"/>
  <c r="D576" i="6"/>
  <c r="F576" i="6"/>
  <c r="G576" i="6"/>
  <c r="F508" i="6"/>
  <c r="D508" i="6"/>
  <c r="C508" i="6"/>
  <c r="H508" i="6"/>
  <c r="E508" i="6"/>
  <c r="G508" i="6"/>
  <c r="B508" i="6"/>
  <c r="H445" i="6"/>
  <c r="C445" i="6"/>
  <c r="B445" i="6"/>
  <c r="D445" i="6"/>
  <c r="F445" i="6"/>
  <c r="E445" i="6"/>
  <c r="G445" i="6"/>
  <c r="F352" i="6"/>
  <c r="D352" i="6"/>
  <c r="C352" i="6"/>
  <c r="G352" i="6"/>
  <c r="E352" i="6"/>
  <c r="B352" i="6"/>
  <c r="H352" i="6"/>
  <c r="H470" i="6"/>
  <c r="D470" i="6"/>
  <c r="G470" i="6"/>
  <c r="E470" i="6"/>
  <c r="B470" i="6"/>
  <c r="C470" i="6"/>
  <c r="F470" i="6"/>
  <c r="F363" i="6"/>
  <c r="D363" i="6"/>
  <c r="G363" i="6"/>
  <c r="H363" i="6"/>
  <c r="E363" i="6"/>
  <c r="C363" i="6"/>
  <c r="B363" i="6"/>
  <c r="H410" i="6"/>
  <c r="G410" i="6"/>
  <c r="D410" i="6"/>
  <c r="B410" i="6"/>
  <c r="C410" i="6"/>
  <c r="F410" i="6"/>
  <c r="E410" i="6"/>
  <c r="F328" i="6"/>
  <c r="D328" i="6"/>
  <c r="G328" i="6"/>
  <c r="H328" i="6"/>
  <c r="E328" i="6"/>
  <c r="C328" i="6"/>
  <c r="B328" i="6"/>
  <c r="H484" i="6"/>
  <c r="B484" i="6"/>
  <c r="D484" i="6"/>
  <c r="G484" i="6"/>
  <c r="E484" i="6"/>
  <c r="C484" i="6"/>
  <c r="F484" i="6"/>
  <c r="H373" i="6"/>
  <c r="F373" i="6"/>
  <c r="D373" i="6"/>
  <c r="C373" i="6"/>
  <c r="G373" i="6"/>
  <c r="B373" i="6"/>
  <c r="E373" i="6"/>
  <c r="F336" i="6"/>
  <c r="D336" i="6"/>
  <c r="C336" i="6"/>
  <c r="B336" i="6"/>
  <c r="G336" i="6"/>
  <c r="E336" i="6"/>
  <c r="H336" i="6"/>
  <c r="H460" i="6"/>
  <c r="B460" i="6"/>
  <c r="G460" i="6"/>
  <c r="E460" i="6"/>
  <c r="D460" i="6"/>
  <c r="F460" i="6"/>
  <c r="C460" i="6"/>
  <c r="H384" i="6"/>
  <c r="G384" i="6"/>
  <c r="B384" i="6"/>
  <c r="F384" i="6"/>
  <c r="E384" i="6"/>
  <c r="D384" i="6"/>
  <c r="C384" i="6"/>
  <c r="E565" i="6"/>
  <c r="D565" i="6"/>
  <c r="G565" i="6"/>
  <c r="C565" i="6"/>
  <c r="F565" i="6"/>
  <c r="H565" i="6"/>
  <c r="B565" i="6"/>
  <c r="H436" i="6"/>
  <c r="B436" i="6"/>
  <c r="E436" i="6"/>
  <c r="C436" i="6"/>
  <c r="D436" i="6"/>
  <c r="G436" i="6"/>
  <c r="F436" i="6"/>
  <c r="D518" i="6"/>
  <c r="C518" i="6"/>
  <c r="B518" i="6"/>
  <c r="G518" i="6"/>
  <c r="H518" i="6"/>
  <c r="F518" i="6"/>
  <c r="E518" i="6"/>
  <c r="E599" i="6"/>
  <c r="G599" i="6"/>
  <c r="F599" i="6"/>
  <c r="C599" i="6"/>
  <c r="H599" i="6"/>
  <c r="D599" i="6"/>
  <c r="B599" i="6"/>
  <c r="E550" i="6"/>
  <c r="F550" i="6"/>
  <c r="B550" i="6"/>
  <c r="G550" i="6"/>
  <c r="D550" i="6"/>
  <c r="H550" i="6"/>
  <c r="C550" i="6"/>
  <c r="E537" i="6"/>
  <c r="B537" i="6"/>
  <c r="D537" i="6"/>
  <c r="H537" i="6"/>
  <c r="C537" i="6"/>
  <c r="G537" i="6"/>
  <c r="F537" i="6"/>
  <c r="H443" i="6"/>
  <c r="G443" i="6"/>
  <c r="E443" i="6"/>
  <c r="D443" i="6"/>
  <c r="B443" i="6"/>
  <c r="F443" i="6"/>
  <c r="C443" i="6"/>
  <c r="H429" i="6"/>
  <c r="C429" i="6"/>
  <c r="E429" i="6"/>
  <c r="B429" i="6"/>
  <c r="F429" i="6"/>
  <c r="G429" i="6"/>
  <c r="D429" i="6"/>
  <c r="F345" i="6"/>
  <c r="D345" i="6"/>
  <c r="C345" i="6"/>
  <c r="B345" i="6"/>
  <c r="G345" i="6"/>
  <c r="E345" i="6"/>
  <c r="H345" i="6"/>
  <c r="E595" i="6"/>
  <c r="B595" i="6"/>
  <c r="G595" i="6"/>
  <c r="H595" i="6"/>
  <c r="F595" i="6"/>
  <c r="C595" i="6"/>
  <c r="D595" i="6"/>
  <c r="E559" i="6"/>
  <c r="G559" i="6"/>
  <c r="B559" i="6"/>
  <c r="C559" i="6"/>
  <c r="F559" i="6"/>
  <c r="H559" i="6"/>
  <c r="D559" i="6"/>
  <c r="F512" i="6"/>
  <c r="B512" i="6"/>
  <c r="H512" i="6"/>
  <c r="E512" i="6"/>
  <c r="D512" i="6"/>
  <c r="G512" i="6"/>
  <c r="C512" i="6"/>
  <c r="H476" i="6"/>
  <c r="B476" i="6"/>
  <c r="E476" i="6"/>
  <c r="C476" i="6"/>
  <c r="F476" i="6"/>
  <c r="D476" i="6"/>
  <c r="G476" i="6"/>
  <c r="H463" i="6"/>
  <c r="E463" i="6"/>
  <c r="D463" i="6"/>
  <c r="B463" i="6"/>
  <c r="F463" i="6"/>
  <c r="G463" i="6"/>
  <c r="C463" i="6"/>
  <c r="H438" i="6"/>
  <c r="D438" i="6"/>
  <c r="F438" i="6"/>
  <c r="C438" i="6"/>
  <c r="B438" i="6"/>
  <c r="G438" i="6"/>
  <c r="E438" i="6"/>
  <c r="H379" i="6"/>
  <c r="D379" i="6"/>
  <c r="B379" i="6"/>
  <c r="E379" i="6"/>
  <c r="G379" i="6"/>
  <c r="C379" i="6"/>
  <c r="F379" i="6"/>
  <c r="F366" i="6"/>
  <c r="D366" i="6"/>
  <c r="G366" i="6"/>
  <c r="C366" i="6"/>
  <c r="E366" i="6"/>
  <c r="H366" i="6"/>
  <c r="B366" i="6"/>
  <c r="F344" i="6"/>
  <c r="D344" i="6"/>
  <c r="G344" i="6"/>
  <c r="H344" i="6"/>
  <c r="E344" i="6"/>
  <c r="B344" i="6"/>
  <c r="C344" i="6"/>
  <c r="H430" i="6"/>
  <c r="D430" i="6"/>
  <c r="G430" i="6"/>
  <c r="E430" i="6"/>
  <c r="C430" i="6"/>
  <c r="F430" i="6"/>
  <c r="B430" i="6"/>
  <c r="E597" i="6"/>
  <c r="D597" i="6"/>
  <c r="H597" i="6"/>
  <c r="G597" i="6"/>
  <c r="F597" i="6"/>
  <c r="C597" i="6"/>
  <c r="B597" i="6"/>
  <c r="E585" i="6"/>
  <c r="C585" i="6"/>
  <c r="H585" i="6"/>
  <c r="D585" i="6"/>
  <c r="F585" i="6"/>
  <c r="B585" i="6"/>
  <c r="G585" i="6"/>
  <c r="E538" i="6"/>
  <c r="C538" i="6"/>
  <c r="B538" i="6"/>
  <c r="G538" i="6"/>
  <c r="F538" i="6"/>
  <c r="H538" i="6"/>
  <c r="D538" i="6"/>
  <c r="E527" i="6"/>
  <c r="G527" i="6"/>
  <c r="H527" i="6"/>
  <c r="F527" i="6"/>
  <c r="D527" i="6"/>
  <c r="C527" i="6"/>
  <c r="B527" i="6"/>
  <c r="H477" i="6"/>
  <c r="C477" i="6"/>
  <c r="G477" i="6"/>
  <c r="E477" i="6"/>
  <c r="D477" i="6"/>
  <c r="F477" i="6"/>
  <c r="B477" i="6"/>
  <c r="H431" i="6"/>
  <c r="E431" i="6"/>
  <c r="G431" i="6"/>
  <c r="C431" i="6"/>
  <c r="B431" i="6"/>
  <c r="F431" i="6"/>
  <c r="D431" i="6"/>
  <c r="H417" i="6"/>
  <c r="G417" i="6"/>
  <c r="F417" i="6"/>
  <c r="D417" i="6"/>
  <c r="C417" i="6"/>
  <c r="B417" i="6"/>
  <c r="E417" i="6"/>
  <c r="F333" i="6"/>
  <c r="D333" i="6"/>
  <c r="C333" i="6"/>
  <c r="G333" i="6"/>
  <c r="E333" i="6"/>
  <c r="B333" i="6"/>
  <c r="H333" i="6"/>
  <c r="F322" i="6"/>
  <c r="D322" i="6"/>
  <c r="G322" i="6"/>
  <c r="C322" i="6"/>
  <c r="H322" i="6"/>
  <c r="E322" i="6"/>
  <c r="B322" i="6"/>
  <c r="E594" i="6"/>
  <c r="D594" i="6"/>
  <c r="H594" i="6"/>
  <c r="C594" i="6"/>
  <c r="F594" i="6"/>
  <c r="B594" i="6"/>
  <c r="G594" i="6"/>
  <c r="F510" i="6"/>
  <c r="G510" i="6"/>
  <c r="D510" i="6"/>
  <c r="E510" i="6"/>
  <c r="H510" i="6"/>
  <c r="C510" i="6"/>
  <c r="B510" i="6"/>
  <c r="H474" i="6"/>
  <c r="G474" i="6"/>
  <c r="F474" i="6"/>
  <c r="D474" i="6"/>
  <c r="E474" i="6"/>
  <c r="C474" i="6"/>
  <c r="B474" i="6"/>
  <c r="H440" i="6"/>
  <c r="F440" i="6"/>
  <c r="B440" i="6"/>
  <c r="D440" i="6"/>
  <c r="G440" i="6"/>
  <c r="E440" i="6"/>
  <c r="C440" i="6"/>
  <c r="H378" i="6"/>
  <c r="C378" i="6"/>
  <c r="G378" i="6"/>
  <c r="F378" i="6"/>
  <c r="D378" i="6"/>
  <c r="E378" i="6"/>
  <c r="B378" i="6"/>
  <c r="F331" i="6"/>
  <c r="D331" i="6"/>
  <c r="G331" i="6"/>
  <c r="C331" i="6"/>
  <c r="B331" i="6"/>
  <c r="E331" i="6"/>
  <c r="H331" i="6"/>
  <c r="F306" i="6"/>
  <c r="B306" i="6"/>
  <c r="D306" i="6"/>
  <c r="H306" i="6"/>
  <c r="G306" i="6"/>
  <c r="E306" i="6"/>
  <c r="C306" i="6"/>
  <c r="E567" i="6"/>
  <c r="G567" i="6"/>
  <c r="F567" i="6"/>
  <c r="D567" i="6"/>
  <c r="B567" i="6"/>
  <c r="H567" i="6"/>
  <c r="C567" i="6"/>
  <c r="E496" i="6"/>
  <c r="G496" i="6"/>
  <c r="C496" i="6"/>
  <c r="F496" i="6"/>
  <c r="D496" i="6"/>
  <c r="B496" i="6"/>
  <c r="H496" i="6"/>
  <c r="H482" i="6"/>
  <c r="F482" i="6"/>
  <c r="C482" i="6"/>
  <c r="E482" i="6"/>
  <c r="D482" i="6"/>
  <c r="B482" i="6"/>
  <c r="G482" i="6"/>
  <c r="H399" i="6"/>
  <c r="E399" i="6"/>
  <c r="D399" i="6"/>
  <c r="B399" i="6"/>
  <c r="F399" i="6"/>
  <c r="G399" i="6"/>
  <c r="C399" i="6"/>
  <c r="H400" i="6"/>
  <c r="F400" i="6"/>
  <c r="G400" i="6"/>
  <c r="D400" i="6"/>
  <c r="C400" i="6"/>
  <c r="E400" i="6"/>
  <c r="B400" i="6"/>
  <c r="E556" i="6"/>
  <c r="C556" i="6"/>
  <c r="F556" i="6"/>
  <c r="H556" i="6"/>
  <c r="D556" i="6"/>
  <c r="G556" i="6"/>
  <c r="B556" i="6"/>
  <c r="F353" i="6"/>
  <c r="D353" i="6"/>
  <c r="C353" i="6"/>
  <c r="G353" i="6"/>
  <c r="B353" i="6"/>
  <c r="H353" i="6"/>
  <c r="E353" i="6"/>
  <c r="F316" i="6"/>
  <c r="D316" i="6"/>
  <c r="B316" i="6"/>
  <c r="G316" i="6"/>
  <c r="H316" i="6"/>
  <c r="C316" i="6"/>
  <c r="E316" i="6"/>
  <c r="H457" i="6"/>
  <c r="G457" i="6"/>
  <c r="D457" i="6"/>
  <c r="B457" i="6"/>
  <c r="F457" i="6"/>
  <c r="E457" i="6"/>
  <c r="C457" i="6"/>
  <c r="E540" i="6"/>
  <c r="C540" i="6"/>
  <c r="H540" i="6"/>
  <c r="D540" i="6"/>
  <c r="G540" i="6"/>
  <c r="B540" i="6"/>
  <c r="F540" i="6"/>
  <c r="H408" i="6"/>
  <c r="F408" i="6"/>
  <c r="E408" i="6"/>
  <c r="C408" i="6"/>
  <c r="G408" i="6"/>
  <c r="B408" i="6"/>
  <c r="D408" i="6"/>
  <c r="F329" i="6"/>
  <c r="D329" i="6"/>
  <c r="C329" i="6"/>
  <c r="B329" i="6"/>
  <c r="H329" i="6"/>
  <c r="G329" i="6"/>
  <c r="E329" i="6"/>
  <c r="F315" i="6"/>
  <c r="C315" i="6"/>
  <c r="E315" i="6"/>
  <c r="B315" i="6"/>
  <c r="D315" i="6"/>
  <c r="H315" i="6"/>
  <c r="G315" i="6"/>
  <c r="H485" i="6"/>
  <c r="C485" i="6"/>
  <c r="F485" i="6"/>
  <c r="D485" i="6"/>
  <c r="B485" i="6"/>
  <c r="G485" i="6"/>
  <c r="E485" i="6"/>
  <c r="H374" i="6"/>
  <c r="G374" i="6"/>
  <c r="E374" i="6"/>
  <c r="D374" i="6"/>
  <c r="B374" i="6"/>
  <c r="F374" i="6"/>
  <c r="C374" i="6"/>
  <c r="F337" i="6"/>
  <c r="D337" i="6"/>
  <c r="C337" i="6"/>
  <c r="G337" i="6"/>
  <c r="H337" i="6"/>
  <c r="E337" i="6"/>
  <c r="B337" i="6"/>
  <c r="F324" i="6"/>
  <c r="D324" i="6"/>
  <c r="C324" i="6"/>
  <c r="B324" i="6"/>
  <c r="G324" i="6"/>
  <c r="H324" i="6"/>
  <c r="E324" i="6"/>
  <c r="H471" i="6"/>
  <c r="E471" i="6"/>
  <c r="C471" i="6"/>
  <c r="D471" i="6"/>
  <c r="F471" i="6"/>
  <c r="G471" i="6"/>
  <c r="B471" i="6"/>
  <c r="H418" i="6"/>
  <c r="F418" i="6"/>
  <c r="E418" i="6"/>
  <c r="G418" i="6"/>
  <c r="D418" i="6"/>
  <c r="C418" i="6"/>
  <c r="B418" i="6"/>
  <c r="F511" i="6"/>
  <c r="H511" i="6"/>
  <c r="G511" i="6"/>
  <c r="E511" i="6"/>
  <c r="C511" i="6"/>
  <c r="B511" i="6"/>
  <c r="D511" i="6"/>
  <c r="E586" i="6"/>
  <c r="F586" i="6"/>
  <c r="D586" i="6"/>
  <c r="B586" i="6"/>
  <c r="H586" i="6"/>
  <c r="C586" i="6"/>
  <c r="G586" i="6"/>
  <c r="E573" i="6"/>
  <c r="D573" i="6"/>
  <c r="F573" i="6"/>
  <c r="G573" i="6"/>
  <c r="H573" i="6"/>
  <c r="B573" i="6"/>
  <c r="C573" i="6"/>
  <c r="D515" i="6"/>
  <c r="F515" i="6"/>
  <c r="C515" i="6"/>
  <c r="E515" i="6"/>
  <c r="G515" i="6"/>
  <c r="B515" i="6"/>
  <c r="H515" i="6"/>
  <c r="H407" i="6"/>
  <c r="E407" i="6"/>
  <c r="C407" i="6"/>
  <c r="G407" i="6"/>
  <c r="D407" i="6"/>
  <c r="F407" i="6"/>
  <c r="B407" i="6"/>
  <c r="F359" i="6"/>
  <c r="D359" i="6"/>
  <c r="G359" i="6"/>
  <c r="C359" i="6"/>
  <c r="H359" i="6"/>
  <c r="E359" i="6"/>
  <c r="B359" i="6"/>
  <c r="F311" i="6"/>
  <c r="H311" i="6"/>
  <c r="E311" i="6"/>
  <c r="C311" i="6"/>
  <c r="B311" i="6"/>
  <c r="G311" i="6"/>
  <c r="D311" i="6"/>
  <c r="E584" i="6"/>
  <c r="H584" i="6"/>
  <c r="D584" i="6"/>
  <c r="G584" i="6"/>
  <c r="B584" i="6"/>
  <c r="F584" i="6"/>
  <c r="C584" i="6"/>
  <c r="E546" i="6"/>
  <c r="B546" i="6"/>
  <c r="H546" i="6"/>
  <c r="G546" i="6"/>
  <c r="C546" i="6"/>
  <c r="F546" i="6"/>
  <c r="D546" i="6"/>
  <c r="E498" i="6"/>
  <c r="H498" i="6"/>
  <c r="D498" i="6"/>
  <c r="B498" i="6"/>
  <c r="F498" i="6"/>
  <c r="G498" i="6"/>
  <c r="C498" i="6"/>
  <c r="H427" i="6"/>
  <c r="G427" i="6"/>
  <c r="F427" i="6"/>
  <c r="D427" i="6"/>
  <c r="B427" i="6"/>
  <c r="C427" i="6"/>
  <c r="E427" i="6"/>
  <c r="F320" i="6"/>
  <c r="D320" i="6"/>
  <c r="C320" i="6"/>
  <c r="G320" i="6"/>
  <c r="B320" i="6"/>
  <c r="E320" i="6"/>
  <c r="H320" i="6"/>
  <c r="E592" i="6"/>
  <c r="H592" i="6"/>
  <c r="B592" i="6"/>
  <c r="C592" i="6"/>
  <c r="G592" i="6"/>
  <c r="D592" i="6"/>
  <c r="F592" i="6"/>
  <c r="E495" i="6"/>
  <c r="F495" i="6"/>
  <c r="D495" i="6"/>
  <c r="B495" i="6"/>
  <c r="G495" i="6"/>
  <c r="C495" i="6"/>
  <c r="H495" i="6"/>
  <c r="F351" i="6"/>
  <c r="D351" i="6"/>
  <c r="G351" i="6"/>
  <c r="H351" i="6"/>
  <c r="E351" i="6"/>
  <c r="C351" i="6"/>
  <c r="B351" i="6"/>
  <c r="E577" i="6"/>
  <c r="D577" i="6"/>
  <c r="H577" i="6"/>
  <c r="G577" i="6"/>
  <c r="C577" i="6"/>
  <c r="F577" i="6"/>
  <c r="B577" i="6"/>
  <c r="H421" i="6"/>
  <c r="C421" i="6"/>
  <c r="F421" i="6"/>
  <c r="D421" i="6"/>
  <c r="G421" i="6"/>
  <c r="B421" i="6"/>
  <c r="E421" i="6"/>
  <c r="F507" i="6"/>
  <c r="C507" i="6"/>
  <c r="H507" i="6"/>
  <c r="E507" i="6"/>
  <c r="B507" i="6"/>
  <c r="G507" i="6"/>
  <c r="D507" i="6"/>
  <c r="F509" i="6"/>
  <c r="E509" i="6"/>
  <c r="B509" i="6"/>
  <c r="G509" i="6"/>
  <c r="D509" i="6"/>
  <c r="C509" i="6"/>
  <c r="H509" i="6"/>
  <c r="H375" i="6"/>
  <c r="F375" i="6"/>
  <c r="E375" i="6"/>
  <c r="C375" i="6"/>
  <c r="G375" i="6"/>
  <c r="D375" i="6"/>
  <c r="B375" i="6"/>
  <c r="F365" i="6"/>
  <c r="D365" i="6"/>
  <c r="C365" i="6"/>
  <c r="G365" i="6"/>
  <c r="B365" i="6"/>
  <c r="E365" i="6"/>
  <c r="H365" i="6"/>
  <c r="H409" i="6"/>
  <c r="G409" i="6"/>
  <c r="E409" i="6"/>
  <c r="D409" i="6"/>
  <c r="F409" i="6"/>
  <c r="B409" i="6"/>
  <c r="C409" i="6"/>
  <c r="H420" i="6"/>
  <c r="B420" i="6"/>
  <c r="D420" i="6"/>
  <c r="G420" i="6"/>
  <c r="E420" i="6"/>
  <c r="F420" i="6"/>
  <c r="C420" i="6"/>
  <c r="H412" i="6"/>
  <c r="B412" i="6"/>
  <c r="E412" i="6"/>
  <c r="C412" i="6"/>
  <c r="F412" i="6"/>
  <c r="D412" i="6"/>
  <c r="G412" i="6"/>
  <c r="F506" i="6"/>
  <c r="B506" i="6"/>
  <c r="E506" i="6"/>
  <c r="G506" i="6"/>
  <c r="C506" i="6"/>
  <c r="H506" i="6"/>
  <c r="D506" i="6"/>
  <c r="H483" i="6"/>
  <c r="B483" i="6"/>
  <c r="E483" i="6"/>
  <c r="C483" i="6"/>
  <c r="G483" i="6"/>
  <c r="F483" i="6"/>
  <c r="D483" i="6"/>
  <c r="F372" i="6"/>
  <c r="D372" i="6"/>
  <c r="C372" i="6"/>
  <c r="B372" i="6"/>
  <c r="G372" i="6"/>
  <c r="E372" i="6"/>
  <c r="H372" i="6"/>
  <c r="H461" i="6"/>
  <c r="C461" i="6"/>
  <c r="G461" i="6"/>
  <c r="D461" i="6"/>
  <c r="B461" i="6"/>
  <c r="E461" i="6"/>
  <c r="F461" i="6"/>
  <c r="C103" i="5" l="1"/>
  <c r="C99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3" i="5"/>
  <c r="C52" i="5"/>
  <c r="C51" i="5"/>
  <c r="C50" i="5"/>
  <c r="C49" i="5"/>
  <c r="C47" i="5"/>
  <c r="C45" i="5"/>
  <c r="C44" i="5"/>
  <c r="C43" i="5"/>
  <c r="C102" i="5"/>
  <c r="C98" i="5"/>
  <c r="C104" i="5"/>
  <c r="C100" i="5"/>
  <c r="C35" i="5"/>
  <c r="C27" i="5"/>
  <c r="C19" i="5"/>
  <c r="C11" i="5"/>
  <c r="C97" i="5"/>
  <c r="C37" i="5"/>
  <c r="C29" i="5"/>
  <c r="C21" i="5"/>
  <c r="C13" i="5"/>
  <c r="C101" i="5"/>
  <c r="C42" i="5"/>
  <c r="C34" i="5"/>
  <c r="C26" i="5"/>
  <c r="C18" i="5"/>
  <c r="C10" i="5"/>
  <c r="C39" i="5"/>
  <c r="C31" i="5"/>
  <c r="C41" i="5"/>
  <c r="C23" i="5"/>
  <c r="C96" i="5"/>
  <c r="C25" i="5"/>
  <c r="C17" i="5"/>
  <c r="C9" i="5"/>
  <c r="C12" i="5"/>
  <c r="C28" i="5"/>
  <c r="C15" i="5"/>
  <c r="C7" i="5"/>
  <c r="C36" i="5"/>
  <c r="C33" i="5"/>
  <c r="C38" i="5"/>
  <c r="C14" i="5"/>
  <c r="C105" i="5"/>
  <c r="C20" i="5"/>
  <c r="C22" i="5"/>
  <c r="C6" i="5"/>
  <c r="C30" i="5"/>
  <c r="C16" i="5"/>
  <c r="C54" i="5"/>
  <c r="C40" i="5"/>
  <c r="C8" i="5"/>
  <c r="C24" i="5"/>
  <c r="C32" i="5"/>
  <c r="C48" i="5"/>
  <c r="C46" i="5"/>
  <c r="A13" i="6" l="1"/>
  <c r="A14" i="6"/>
  <c r="A12" i="6"/>
  <c r="R8" i="5"/>
  <c r="Q8" i="5"/>
  <c r="N8" i="5"/>
  <c r="D8" i="5"/>
  <c r="F8" i="5"/>
  <c r="G8" i="5" s="1"/>
  <c r="P8" i="5"/>
  <c r="S8" i="5" s="1"/>
  <c r="E8" i="5"/>
  <c r="O8" i="5"/>
  <c r="T8" i="5"/>
  <c r="A305" i="6"/>
  <c r="W105" i="5"/>
  <c r="O105" i="5"/>
  <c r="G105" i="5"/>
  <c r="A303" i="6"/>
  <c r="E105" i="5"/>
  <c r="I105" i="5"/>
  <c r="Q105" i="5"/>
  <c r="P105" i="5"/>
  <c r="S105" i="5" s="1"/>
  <c r="K105" i="5"/>
  <c r="J105" i="5"/>
  <c r="V105" i="5"/>
  <c r="R105" i="5"/>
  <c r="N105" i="5"/>
  <c r="H105" i="5"/>
  <c r="L105" i="5"/>
  <c r="M105" i="5" s="1"/>
  <c r="X105" i="5" s="1"/>
  <c r="D105" i="5"/>
  <c r="F105" i="5" s="1"/>
  <c r="A304" i="6"/>
  <c r="A105" i="6"/>
  <c r="A107" i="6"/>
  <c r="R39" i="5"/>
  <c r="Q39" i="5"/>
  <c r="I39" i="5"/>
  <c r="A106" i="6"/>
  <c r="S39" i="5"/>
  <c r="P39" i="5"/>
  <c r="F39" i="5"/>
  <c r="G39" i="5" s="1"/>
  <c r="O39" i="5"/>
  <c r="E39" i="5"/>
  <c r="N39" i="5"/>
  <c r="D39" i="5"/>
  <c r="V39" i="5"/>
  <c r="U39" i="5"/>
  <c r="T39" i="5"/>
  <c r="A51" i="6"/>
  <c r="A53" i="6"/>
  <c r="R21" i="5"/>
  <c r="A52" i="6"/>
  <c r="Q21" i="5"/>
  <c r="O21" i="5"/>
  <c r="E21" i="5"/>
  <c r="N21" i="5"/>
  <c r="D21" i="5"/>
  <c r="F21" i="5"/>
  <c r="G21" i="5" s="1"/>
  <c r="H21" i="5" s="1"/>
  <c r="I21" i="5" s="1"/>
  <c r="P21" i="5"/>
  <c r="T21" i="5" s="1"/>
  <c r="A289" i="6"/>
  <c r="W100" i="5"/>
  <c r="O100" i="5"/>
  <c r="G100" i="5"/>
  <c r="E100" i="5"/>
  <c r="V100" i="5"/>
  <c r="K100" i="5"/>
  <c r="I100" i="5"/>
  <c r="T100" i="5"/>
  <c r="D100" i="5"/>
  <c r="A290" i="6"/>
  <c r="R100" i="5"/>
  <c r="P100" i="5"/>
  <c r="S100" i="5" s="1"/>
  <c r="N100" i="5"/>
  <c r="J100" i="5"/>
  <c r="A288" i="6"/>
  <c r="H100" i="5"/>
  <c r="L100" i="5" s="1"/>
  <c r="M100" i="5" s="1"/>
  <c r="X100" i="5" s="1"/>
  <c r="F100" i="5"/>
  <c r="Q100" i="5"/>
  <c r="A136" i="6"/>
  <c r="A137" i="6"/>
  <c r="A135" i="6"/>
  <c r="Q49" i="5"/>
  <c r="I49" i="5"/>
  <c r="V49" i="5"/>
  <c r="R49" i="5"/>
  <c r="E49" i="5"/>
  <c r="P49" i="5"/>
  <c r="D49" i="5"/>
  <c r="O49" i="5"/>
  <c r="N49" i="5"/>
  <c r="F49" i="5"/>
  <c r="G49" i="5" s="1"/>
  <c r="A187" i="6"/>
  <c r="A186" i="6"/>
  <c r="K66" i="5"/>
  <c r="Q66" i="5"/>
  <c r="I66" i="5"/>
  <c r="N66" i="5"/>
  <c r="D66" i="5"/>
  <c r="F66" i="5" s="1"/>
  <c r="G66" i="5" s="1"/>
  <c r="V66" i="5"/>
  <c r="J66" i="5"/>
  <c r="P66" i="5"/>
  <c r="O66" i="5"/>
  <c r="W66" i="5"/>
  <c r="R66" i="5"/>
  <c r="E66" i="5"/>
  <c r="A188" i="6"/>
  <c r="A211" i="6"/>
  <c r="A210" i="6"/>
  <c r="K74" i="5"/>
  <c r="Q74" i="5"/>
  <c r="I74" i="5"/>
  <c r="A212" i="6"/>
  <c r="N74" i="5"/>
  <c r="D74" i="5"/>
  <c r="F74" i="5" s="1"/>
  <c r="G74" i="5" s="1"/>
  <c r="W74" i="5"/>
  <c r="V74" i="5"/>
  <c r="J74" i="5"/>
  <c r="O74" i="5"/>
  <c r="E74" i="5"/>
  <c r="R74" i="5"/>
  <c r="P74" i="5"/>
  <c r="S74" i="5" s="1"/>
  <c r="A259" i="6"/>
  <c r="S90" i="5"/>
  <c r="K90" i="5"/>
  <c r="A260" i="6"/>
  <c r="A258" i="6"/>
  <c r="Q90" i="5"/>
  <c r="I90" i="5"/>
  <c r="N90" i="5"/>
  <c r="D90" i="5"/>
  <c r="F90" i="5" s="1"/>
  <c r="G90" i="5" s="1"/>
  <c r="O90" i="5"/>
  <c r="W90" i="5"/>
  <c r="V90" i="5"/>
  <c r="R90" i="5"/>
  <c r="E90" i="5"/>
  <c r="J90" i="5"/>
  <c r="P90" i="5"/>
  <c r="T90" i="5" s="1"/>
  <c r="A109" i="6"/>
  <c r="R40" i="5"/>
  <c r="Q40" i="5"/>
  <c r="I40" i="5"/>
  <c r="N40" i="5"/>
  <c r="D40" i="5"/>
  <c r="A110" i="6"/>
  <c r="V40" i="5"/>
  <c r="A108" i="6"/>
  <c r="O40" i="5"/>
  <c r="F40" i="5"/>
  <c r="G40" i="5" s="1"/>
  <c r="E40" i="5"/>
  <c r="P40" i="5"/>
  <c r="T40" i="5" s="1"/>
  <c r="A31" i="6"/>
  <c r="R14" i="5"/>
  <c r="Q14" i="5"/>
  <c r="A30" i="6"/>
  <c r="A32" i="6"/>
  <c r="P14" i="5"/>
  <c r="T14" i="5" s="1"/>
  <c r="O14" i="5"/>
  <c r="E14" i="5"/>
  <c r="N14" i="5"/>
  <c r="F14" i="5"/>
  <c r="G14" i="5" s="1"/>
  <c r="H14" i="5" s="1"/>
  <c r="I14" i="5" s="1"/>
  <c r="D14" i="5"/>
  <c r="A19" i="6"/>
  <c r="A20" i="6"/>
  <c r="A18" i="6"/>
  <c r="R10" i="5"/>
  <c r="Q10" i="5"/>
  <c r="P10" i="5"/>
  <c r="T10" i="5" s="1"/>
  <c r="F10" i="5"/>
  <c r="G10" i="5" s="1"/>
  <c r="H10" i="5" s="1"/>
  <c r="I10" i="5" s="1"/>
  <c r="O10" i="5"/>
  <c r="E10" i="5"/>
  <c r="N10" i="5"/>
  <c r="D10" i="5"/>
  <c r="A77" i="6"/>
  <c r="A75" i="6"/>
  <c r="R29" i="5"/>
  <c r="Q29" i="5"/>
  <c r="A76" i="6"/>
  <c r="O29" i="5"/>
  <c r="E29" i="5"/>
  <c r="N29" i="5"/>
  <c r="D29" i="5"/>
  <c r="F29" i="5"/>
  <c r="P29" i="5"/>
  <c r="S29" i="5" s="1"/>
  <c r="G29" i="5"/>
  <c r="H29" i="5" s="1"/>
  <c r="I29" i="5" s="1"/>
  <c r="A140" i="6"/>
  <c r="S50" i="5"/>
  <c r="A138" i="6"/>
  <c r="Q50" i="5"/>
  <c r="I50" i="5"/>
  <c r="R50" i="5"/>
  <c r="G50" i="5"/>
  <c r="V50" i="5"/>
  <c r="F50" i="5"/>
  <c r="E50" i="5"/>
  <c r="P50" i="5"/>
  <c r="T50" i="5" s="1"/>
  <c r="D50" i="5"/>
  <c r="N50" i="5"/>
  <c r="A139" i="6"/>
  <c r="O50" i="5"/>
  <c r="A165" i="6"/>
  <c r="A167" i="6"/>
  <c r="K59" i="5"/>
  <c r="Q59" i="5"/>
  <c r="I59" i="5"/>
  <c r="O59" i="5"/>
  <c r="E59" i="5"/>
  <c r="A166" i="6"/>
  <c r="N59" i="5"/>
  <c r="D59" i="5"/>
  <c r="W59" i="5"/>
  <c r="J59" i="5"/>
  <c r="V59" i="5"/>
  <c r="R59" i="5"/>
  <c r="F59" i="5"/>
  <c r="G59" i="5" s="1"/>
  <c r="P59" i="5"/>
  <c r="A189" i="6"/>
  <c r="K67" i="5"/>
  <c r="A191" i="6"/>
  <c r="Q67" i="5"/>
  <c r="I67" i="5"/>
  <c r="J67" i="5"/>
  <c r="V67" i="5"/>
  <c r="A190" i="6"/>
  <c r="W67" i="5"/>
  <c r="E67" i="5"/>
  <c r="R67" i="5"/>
  <c r="D67" i="5"/>
  <c r="F67" i="5" s="1"/>
  <c r="G67" i="5" s="1"/>
  <c r="H67" i="5" s="1"/>
  <c r="O67" i="5"/>
  <c r="P67" i="5"/>
  <c r="S67" i="5" s="1"/>
  <c r="N67" i="5"/>
  <c r="A215" i="6"/>
  <c r="A213" i="6"/>
  <c r="K75" i="5"/>
  <c r="Q75" i="5"/>
  <c r="I75" i="5"/>
  <c r="J75" i="5"/>
  <c r="W75" i="5"/>
  <c r="V75" i="5"/>
  <c r="A214" i="6"/>
  <c r="E75" i="5"/>
  <c r="R75" i="5"/>
  <c r="D75" i="5"/>
  <c r="F75" i="5" s="1"/>
  <c r="G75" i="5" s="1"/>
  <c r="P75" i="5"/>
  <c r="S75" i="5" s="1"/>
  <c r="N75" i="5"/>
  <c r="O75" i="5"/>
  <c r="K91" i="5"/>
  <c r="A262" i="6"/>
  <c r="Q91" i="5"/>
  <c r="I91" i="5"/>
  <c r="J91" i="5"/>
  <c r="N91" i="5"/>
  <c r="A263" i="6"/>
  <c r="W91" i="5"/>
  <c r="V91" i="5"/>
  <c r="F91" i="5"/>
  <c r="G91" i="5" s="1"/>
  <c r="E91" i="5"/>
  <c r="R91" i="5"/>
  <c r="P91" i="5"/>
  <c r="S91" i="5" s="1"/>
  <c r="A261" i="6"/>
  <c r="O91" i="5"/>
  <c r="D91" i="5"/>
  <c r="A152" i="6"/>
  <c r="A151" i="6"/>
  <c r="Q54" i="5"/>
  <c r="I54" i="5"/>
  <c r="N54" i="5"/>
  <c r="D54" i="5"/>
  <c r="A150" i="6"/>
  <c r="P54" i="5"/>
  <c r="S54" i="5" s="1"/>
  <c r="O54" i="5"/>
  <c r="V54" i="5"/>
  <c r="F54" i="5"/>
  <c r="G54" i="5" s="1"/>
  <c r="H54" i="5" s="1"/>
  <c r="J54" i="5" s="1"/>
  <c r="W54" i="5" s="1"/>
  <c r="E54" i="5"/>
  <c r="R54" i="5"/>
  <c r="A103" i="6"/>
  <c r="A104" i="6"/>
  <c r="R38" i="5"/>
  <c r="Q38" i="5"/>
  <c r="I38" i="5"/>
  <c r="V38" i="5"/>
  <c r="F38" i="5"/>
  <c r="G38" i="5" s="1"/>
  <c r="P38" i="5"/>
  <c r="T38" i="5" s="1"/>
  <c r="E38" i="5"/>
  <c r="A102" i="6"/>
  <c r="O38" i="5"/>
  <c r="D38" i="5"/>
  <c r="N38" i="5"/>
  <c r="A43" i="6"/>
  <c r="R18" i="5"/>
  <c r="A44" i="6"/>
  <c r="Q18" i="5"/>
  <c r="P18" i="5"/>
  <c r="F18" i="5"/>
  <c r="G18" i="5" s="1"/>
  <c r="O18" i="5"/>
  <c r="E18" i="5"/>
  <c r="N18" i="5"/>
  <c r="D18" i="5"/>
  <c r="A42" i="6"/>
  <c r="A101" i="6"/>
  <c r="R37" i="5"/>
  <c r="Q37" i="5"/>
  <c r="I37" i="5"/>
  <c r="A100" i="6"/>
  <c r="O37" i="5"/>
  <c r="E37" i="5"/>
  <c r="A99" i="6"/>
  <c r="N37" i="5"/>
  <c r="D37" i="5"/>
  <c r="V37" i="5"/>
  <c r="F37" i="5"/>
  <c r="G37" i="5" s="1"/>
  <c r="P37" i="5"/>
  <c r="T37" i="5" s="1"/>
  <c r="A141" i="6"/>
  <c r="A142" i="6"/>
  <c r="Q51" i="5"/>
  <c r="I51" i="5"/>
  <c r="O51" i="5"/>
  <c r="E51" i="5"/>
  <c r="A143" i="6"/>
  <c r="N51" i="5"/>
  <c r="D51" i="5"/>
  <c r="V51" i="5"/>
  <c r="G51" i="5"/>
  <c r="R51" i="5"/>
  <c r="F51" i="5"/>
  <c r="P51" i="5"/>
  <c r="S51" i="5" s="1"/>
  <c r="A168" i="6"/>
  <c r="A169" i="6"/>
  <c r="K60" i="5"/>
  <c r="A170" i="6"/>
  <c r="Q60" i="5"/>
  <c r="I60" i="5"/>
  <c r="V60" i="5"/>
  <c r="J60" i="5"/>
  <c r="O60" i="5"/>
  <c r="N60" i="5"/>
  <c r="W60" i="5"/>
  <c r="G60" i="5"/>
  <c r="E60" i="5"/>
  <c r="T60" i="5"/>
  <c r="R60" i="5"/>
  <c r="D60" i="5"/>
  <c r="F60" i="5" s="1"/>
  <c r="P60" i="5"/>
  <c r="S60" i="5" s="1"/>
  <c r="A193" i="6"/>
  <c r="S68" i="5"/>
  <c r="K68" i="5"/>
  <c r="Q68" i="5"/>
  <c r="I68" i="5"/>
  <c r="A192" i="6"/>
  <c r="P68" i="5"/>
  <c r="T68" i="5" s="1"/>
  <c r="A194" i="6"/>
  <c r="N68" i="5"/>
  <c r="J68" i="5"/>
  <c r="W68" i="5"/>
  <c r="E68" i="5"/>
  <c r="R68" i="5"/>
  <c r="O68" i="5"/>
  <c r="D68" i="5"/>
  <c r="F68" i="5" s="1"/>
  <c r="G68" i="5" s="1"/>
  <c r="V68" i="5"/>
  <c r="A241" i="6"/>
  <c r="A242" i="6"/>
  <c r="K84" i="5"/>
  <c r="A240" i="6"/>
  <c r="Q84" i="5"/>
  <c r="I84" i="5"/>
  <c r="P84" i="5"/>
  <c r="S84" i="5" s="1"/>
  <c r="F84" i="5"/>
  <c r="W84" i="5"/>
  <c r="V84" i="5"/>
  <c r="J84" i="5"/>
  <c r="G84" i="5"/>
  <c r="H84" i="5" s="1"/>
  <c r="E84" i="5"/>
  <c r="T84" i="5"/>
  <c r="D84" i="5"/>
  <c r="O84" i="5"/>
  <c r="R84" i="5"/>
  <c r="N84" i="5"/>
  <c r="A265" i="6"/>
  <c r="K92" i="5"/>
  <c r="A266" i="6"/>
  <c r="Q92" i="5"/>
  <c r="I92" i="5"/>
  <c r="P92" i="5"/>
  <c r="S92" i="5" s="1"/>
  <c r="A264" i="6"/>
  <c r="W92" i="5"/>
  <c r="R92" i="5"/>
  <c r="O92" i="5"/>
  <c r="N92" i="5"/>
  <c r="J92" i="5"/>
  <c r="V92" i="5"/>
  <c r="E92" i="5"/>
  <c r="D92" i="5"/>
  <c r="F92" i="5" s="1"/>
  <c r="G92" i="5" s="1"/>
  <c r="A87" i="6"/>
  <c r="A89" i="6"/>
  <c r="A88" i="6"/>
  <c r="R33" i="5"/>
  <c r="Q33" i="5"/>
  <c r="I33" i="5"/>
  <c r="O33" i="5"/>
  <c r="E33" i="5"/>
  <c r="P33" i="5"/>
  <c r="F33" i="5"/>
  <c r="G33" i="5" s="1"/>
  <c r="H33" i="5" s="1"/>
  <c r="J33" i="5" s="1"/>
  <c r="D33" i="5"/>
  <c r="V33" i="5"/>
  <c r="N33" i="5"/>
  <c r="A63" i="6"/>
  <c r="A65" i="6"/>
  <c r="R25" i="5"/>
  <c r="Q25" i="5"/>
  <c r="P25" i="5"/>
  <c r="F25" i="5"/>
  <c r="G25" i="5" s="1"/>
  <c r="H25" i="5" s="1"/>
  <c r="I25" i="5" s="1"/>
  <c r="D25" i="5"/>
  <c r="N25" i="5"/>
  <c r="A64" i="6"/>
  <c r="O25" i="5"/>
  <c r="E25" i="5"/>
  <c r="A67" i="6"/>
  <c r="A66" i="6"/>
  <c r="R26" i="5"/>
  <c r="Q26" i="5"/>
  <c r="A68" i="6"/>
  <c r="P26" i="5"/>
  <c r="F26" i="5"/>
  <c r="G26" i="5" s="1"/>
  <c r="H26" i="5" s="1"/>
  <c r="I26" i="5" s="1"/>
  <c r="O26" i="5"/>
  <c r="E26" i="5"/>
  <c r="N26" i="5"/>
  <c r="D26" i="5"/>
  <c r="W102" i="5"/>
  <c r="O102" i="5"/>
  <c r="G102" i="5"/>
  <c r="E102" i="5"/>
  <c r="A295" i="6"/>
  <c r="Q102" i="5"/>
  <c r="F102" i="5"/>
  <c r="N102" i="5"/>
  <c r="A296" i="6"/>
  <c r="T102" i="5"/>
  <c r="H102" i="5"/>
  <c r="L102" i="5" s="1"/>
  <c r="M102" i="5" s="1"/>
  <c r="X102" i="5" s="1"/>
  <c r="V102" i="5"/>
  <c r="D102" i="5"/>
  <c r="A294" i="6"/>
  <c r="K102" i="5"/>
  <c r="J102" i="5"/>
  <c r="I102" i="5"/>
  <c r="P102" i="5"/>
  <c r="S102" i="5" s="1"/>
  <c r="R102" i="5"/>
  <c r="A144" i="6"/>
  <c r="A145" i="6"/>
  <c r="Q52" i="5"/>
  <c r="I52" i="5"/>
  <c r="V52" i="5"/>
  <c r="G52" i="5"/>
  <c r="E52" i="5"/>
  <c r="A146" i="6"/>
  <c r="F52" i="5"/>
  <c r="R52" i="5"/>
  <c r="P52" i="5"/>
  <c r="S52" i="5" s="1"/>
  <c r="O52" i="5"/>
  <c r="N52" i="5"/>
  <c r="D52" i="5"/>
  <c r="A172" i="6"/>
  <c r="A173" i="6"/>
  <c r="K61" i="5"/>
  <c r="Q61" i="5"/>
  <c r="I61" i="5"/>
  <c r="A171" i="6"/>
  <c r="R61" i="5"/>
  <c r="G61" i="5"/>
  <c r="H61" i="5" s="1"/>
  <c r="P61" i="5"/>
  <c r="D61" i="5"/>
  <c r="F61" i="5" s="1"/>
  <c r="O61" i="5"/>
  <c r="N61" i="5"/>
  <c r="W61" i="5"/>
  <c r="V61" i="5"/>
  <c r="J61" i="5"/>
  <c r="E61" i="5"/>
  <c r="A195" i="6"/>
  <c r="K69" i="5"/>
  <c r="A197" i="6"/>
  <c r="Q69" i="5"/>
  <c r="I69" i="5"/>
  <c r="W69" i="5"/>
  <c r="R69" i="5"/>
  <c r="E69" i="5"/>
  <c r="P69" i="5"/>
  <c r="S69" i="5" s="1"/>
  <c r="D69" i="5"/>
  <c r="F69" i="5" s="1"/>
  <c r="G69" i="5" s="1"/>
  <c r="A196" i="6"/>
  <c r="T69" i="5"/>
  <c r="O69" i="5"/>
  <c r="N69" i="5"/>
  <c r="V69" i="5"/>
  <c r="J69" i="5"/>
  <c r="A219" i="6"/>
  <c r="A221" i="6"/>
  <c r="K77" i="5"/>
  <c r="Q77" i="5"/>
  <c r="I77" i="5"/>
  <c r="W77" i="5"/>
  <c r="A220" i="6"/>
  <c r="R77" i="5"/>
  <c r="P77" i="5"/>
  <c r="S77" i="5" s="1"/>
  <c r="O77" i="5"/>
  <c r="N77" i="5"/>
  <c r="J77" i="5"/>
  <c r="E77" i="5"/>
  <c r="V77" i="5"/>
  <c r="D77" i="5"/>
  <c r="F77" i="5" s="1"/>
  <c r="G77" i="5" s="1"/>
  <c r="A267" i="6"/>
  <c r="S93" i="5"/>
  <c r="K93" i="5"/>
  <c r="A268" i="6"/>
  <c r="Q93" i="5"/>
  <c r="I93" i="5"/>
  <c r="W93" i="5"/>
  <c r="V93" i="5"/>
  <c r="J93" i="5"/>
  <c r="X93" i="5"/>
  <c r="T93" i="5"/>
  <c r="E93" i="5"/>
  <c r="R93" i="5"/>
  <c r="D93" i="5"/>
  <c r="F93" i="5" s="1"/>
  <c r="G93" i="5" s="1"/>
  <c r="H93" i="5" s="1"/>
  <c r="P93" i="5"/>
  <c r="O93" i="5"/>
  <c r="L93" i="5"/>
  <c r="M93" i="5" s="1"/>
  <c r="A269" i="6"/>
  <c r="N93" i="5"/>
  <c r="A128" i="6"/>
  <c r="A126" i="6"/>
  <c r="Q46" i="5"/>
  <c r="I46" i="5"/>
  <c r="N46" i="5"/>
  <c r="D46" i="5"/>
  <c r="A127" i="6"/>
  <c r="V46" i="5"/>
  <c r="T46" i="5"/>
  <c r="F46" i="5"/>
  <c r="G46" i="5" s="1"/>
  <c r="H46" i="5" s="1"/>
  <c r="J46" i="5" s="1"/>
  <c r="O46" i="5"/>
  <c r="E46" i="5"/>
  <c r="R46" i="5"/>
  <c r="P46" i="5"/>
  <c r="S46" i="5" s="1"/>
  <c r="A97" i="6"/>
  <c r="A96" i="6"/>
  <c r="R36" i="5"/>
  <c r="A98" i="6"/>
  <c r="Q36" i="5"/>
  <c r="I36" i="5"/>
  <c r="P36" i="5"/>
  <c r="F36" i="5"/>
  <c r="G36" i="5" s="1"/>
  <c r="H36" i="5" s="1"/>
  <c r="J36" i="5" s="1"/>
  <c r="D36" i="5"/>
  <c r="O36" i="5"/>
  <c r="E36" i="5"/>
  <c r="N36" i="5"/>
  <c r="V36" i="5"/>
  <c r="W96" i="5"/>
  <c r="O96" i="5"/>
  <c r="G96" i="5"/>
  <c r="A277" i="6"/>
  <c r="P96" i="5"/>
  <c r="T96" i="5" s="1"/>
  <c r="V96" i="5"/>
  <c r="D96" i="5"/>
  <c r="F96" i="5" s="1"/>
  <c r="A276" i="6"/>
  <c r="R96" i="5"/>
  <c r="E96" i="5"/>
  <c r="K96" i="5"/>
  <c r="S96" i="5"/>
  <c r="Q96" i="5"/>
  <c r="N96" i="5"/>
  <c r="J96" i="5"/>
  <c r="I96" i="5"/>
  <c r="H96" i="5"/>
  <c r="L96" i="5" s="1"/>
  <c r="M96" i="5" s="1"/>
  <c r="X96" i="5" s="1"/>
  <c r="A278" i="6"/>
  <c r="R34" i="5"/>
  <c r="A90" i="6"/>
  <c r="Q34" i="5"/>
  <c r="I34" i="5"/>
  <c r="P34" i="5"/>
  <c r="F34" i="5"/>
  <c r="G34" i="5" s="1"/>
  <c r="O34" i="5"/>
  <c r="E34" i="5"/>
  <c r="N34" i="5"/>
  <c r="D34" i="5"/>
  <c r="V34" i="5"/>
  <c r="A92" i="6"/>
  <c r="T34" i="5"/>
  <c r="S34" i="5"/>
  <c r="A91" i="6"/>
  <c r="A23" i="6"/>
  <c r="R11" i="5"/>
  <c r="A22" i="6"/>
  <c r="Q11" i="5"/>
  <c r="T11" i="5"/>
  <c r="O11" i="5"/>
  <c r="N11" i="5"/>
  <c r="D11" i="5"/>
  <c r="E11" i="5"/>
  <c r="A21" i="6"/>
  <c r="P11" i="5"/>
  <c r="S11" i="5" s="1"/>
  <c r="F11" i="5"/>
  <c r="G11" i="5" s="1"/>
  <c r="H11" i="5" s="1"/>
  <c r="I11" i="5" s="1"/>
  <c r="J11" i="5" s="1"/>
  <c r="K11" i="5" s="1"/>
  <c r="A117" i="6"/>
  <c r="A119" i="6"/>
  <c r="Q43" i="5"/>
  <c r="I43" i="5"/>
  <c r="A118" i="6"/>
  <c r="O43" i="5"/>
  <c r="E43" i="5"/>
  <c r="N43" i="5"/>
  <c r="D43" i="5"/>
  <c r="T43" i="5"/>
  <c r="U43" i="5" s="1"/>
  <c r="F43" i="5"/>
  <c r="G43" i="5" s="1"/>
  <c r="R43" i="5"/>
  <c r="P43" i="5"/>
  <c r="S43" i="5" s="1"/>
  <c r="V43" i="5"/>
  <c r="A148" i="6"/>
  <c r="A149" i="6"/>
  <c r="A147" i="6"/>
  <c r="Q53" i="5"/>
  <c r="I53" i="5"/>
  <c r="R53" i="5"/>
  <c r="P53" i="5"/>
  <c r="F53" i="5"/>
  <c r="G53" i="5" s="1"/>
  <c r="H53" i="5" s="1"/>
  <c r="J53" i="5" s="1"/>
  <c r="N53" i="5"/>
  <c r="V53" i="5"/>
  <c r="D53" i="5"/>
  <c r="E53" i="5"/>
  <c r="O53" i="5"/>
  <c r="A176" i="6"/>
  <c r="A174" i="6"/>
  <c r="K62" i="5"/>
  <c r="Q62" i="5"/>
  <c r="I62" i="5"/>
  <c r="N62" i="5"/>
  <c r="D62" i="5"/>
  <c r="W62" i="5"/>
  <c r="F62" i="5"/>
  <c r="G62" i="5" s="1"/>
  <c r="H62" i="5" s="1"/>
  <c r="R62" i="5"/>
  <c r="E62" i="5"/>
  <c r="P62" i="5"/>
  <c r="S62" i="5" s="1"/>
  <c r="O62" i="5"/>
  <c r="V62" i="5"/>
  <c r="J62" i="5"/>
  <c r="A175" i="6"/>
  <c r="K70" i="5"/>
  <c r="A199" i="6"/>
  <c r="Q70" i="5"/>
  <c r="I70" i="5"/>
  <c r="A200" i="6"/>
  <c r="P70" i="5"/>
  <c r="T70" i="5" s="1"/>
  <c r="E70" i="5"/>
  <c r="A198" i="6"/>
  <c r="O70" i="5"/>
  <c r="D70" i="5"/>
  <c r="F70" i="5" s="1"/>
  <c r="G70" i="5" s="1"/>
  <c r="J70" i="5"/>
  <c r="W70" i="5"/>
  <c r="V70" i="5"/>
  <c r="N70" i="5"/>
  <c r="R70" i="5"/>
  <c r="A224" i="6"/>
  <c r="K78" i="5"/>
  <c r="Q78" i="5"/>
  <c r="I78" i="5"/>
  <c r="R78" i="5"/>
  <c r="P78" i="5"/>
  <c r="E78" i="5"/>
  <c r="J78" i="5"/>
  <c r="W78" i="5"/>
  <c r="A222" i="6"/>
  <c r="V78" i="5"/>
  <c r="D78" i="5"/>
  <c r="F78" i="5" s="1"/>
  <c r="G78" i="5" s="1"/>
  <c r="O78" i="5"/>
  <c r="N78" i="5"/>
  <c r="A223" i="6"/>
  <c r="A247" i="6"/>
  <c r="S86" i="5"/>
  <c r="K86" i="5"/>
  <c r="A248" i="6"/>
  <c r="A246" i="6"/>
  <c r="Q86" i="5"/>
  <c r="I86" i="5"/>
  <c r="R86" i="5"/>
  <c r="V86" i="5"/>
  <c r="D86" i="5"/>
  <c r="F86" i="5" s="1"/>
  <c r="G86" i="5" s="1"/>
  <c r="P86" i="5"/>
  <c r="T86" i="5" s="1"/>
  <c r="O86" i="5"/>
  <c r="N86" i="5"/>
  <c r="J86" i="5"/>
  <c r="E86" i="5"/>
  <c r="W86" i="5"/>
  <c r="A271" i="6"/>
  <c r="S94" i="5"/>
  <c r="K94" i="5"/>
  <c r="Q94" i="5"/>
  <c r="I94" i="5"/>
  <c r="A270" i="6"/>
  <c r="T94" i="5"/>
  <c r="V94" i="5"/>
  <c r="J94" i="5"/>
  <c r="A272" i="6"/>
  <c r="N94" i="5"/>
  <c r="E94" i="5"/>
  <c r="W94" i="5"/>
  <c r="D94" i="5"/>
  <c r="F94" i="5" s="1"/>
  <c r="G94" i="5" s="1"/>
  <c r="R94" i="5"/>
  <c r="P94" i="5"/>
  <c r="O94" i="5"/>
  <c r="A132" i="6"/>
  <c r="A133" i="6"/>
  <c r="Q48" i="5"/>
  <c r="I48" i="5"/>
  <c r="A134" i="6"/>
  <c r="P48" i="5"/>
  <c r="S48" i="5" s="1"/>
  <c r="F48" i="5"/>
  <c r="G48" i="5" s="1"/>
  <c r="O48" i="5"/>
  <c r="E48" i="5"/>
  <c r="D48" i="5"/>
  <c r="R48" i="5"/>
  <c r="N48" i="5"/>
  <c r="V48" i="5"/>
  <c r="A7" i="6"/>
  <c r="A8" i="6"/>
  <c r="A6" i="6"/>
  <c r="R6" i="5"/>
  <c r="Q6" i="5"/>
  <c r="P6" i="5"/>
  <c r="F6" i="5"/>
  <c r="G6" i="5" s="1"/>
  <c r="E6" i="5"/>
  <c r="O6" i="5"/>
  <c r="N6" i="5"/>
  <c r="B5" i="2"/>
  <c r="D6" i="5"/>
  <c r="E5" i="2"/>
  <c r="B14" i="10" s="1"/>
  <c r="E6" i="3"/>
  <c r="A9" i="6"/>
  <c r="A11" i="6"/>
  <c r="A10" i="6"/>
  <c r="R7" i="5"/>
  <c r="Q7" i="5"/>
  <c r="P7" i="5"/>
  <c r="F7" i="5"/>
  <c r="G7" i="5" s="1"/>
  <c r="O7" i="5"/>
  <c r="E7" i="5"/>
  <c r="N7" i="5"/>
  <c r="D7" i="5"/>
  <c r="A57" i="6"/>
  <c r="A59" i="6"/>
  <c r="R23" i="5"/>
  <c r="Q23" i="5"/>
  <c r="P23" i="5"/>
  <c r="T23" i="5" s="1"/>
  <c r="F23" i="5"/>
  <c r="G23" i="5" s="1"/>
  <c r="H23" i="5" s="1"/>
  <c r="I23" i="5" s="1"/>
  <c r="O23" i="5"/>
  <c r="E23" i="5"/>
  <c r="N23" i="5"/>
  <c r="D23" i="5"/>
  <c r="A58" i="6"/>
  <c r="A116" i="6"/>
  <c r="A115" i="6"/>
  <c r="A114" i="6"/>
  <c r="R42" i="5"/>
  <c r="I42" i="5"/>
  <c r="Q42" i="5"/>
  <c r="F42" i="5"/>
  <c r="G42" i="5" s="1"/>
  <c r="H42" i="5" s="1"/>
  <c r="J42" i="5" s="1"/>
  <c r="P42" i="5"/>
  <c r="E42" i="5"/>
  <c r="O42" i="5"/>
  <c r="D42" i="5"/>
  <c r="N42" i="5"/>
  <c r="V42" i="5"/>
  <c r="A47" i="6"/>
  <c r="A45" i="6"/>
  <c r="R19" i="5"/>
  <c r="Q19" i="5"/>
  <c r="A46" i="6"/>
  <c r="O19" i="5"/>
  <c r="E19" i="5"/>
  <c r="N19" i="5"/>
  <c r="D19" i="5"/>
  <c r="G19" i="5"/>
  <c r="H19" i="5" s="1"/>
  <c r="I19" i="5" s="1"/>
  <c r="P19" i="5"/>
  <c r="T19" i="5" s="1"/>
  <c r="F19" i="5"/>
  <c r="A120" i="6"/>
  <c r="A121" i="6"/>
  <c r="A122" i="6"/>
  <c r="Q44" i="5"/>
  <c r="I44" i="5"/>
  <c r="V44" i="5"/>
  <c r="F44" i="5"/>
  <c r="G44" i="5" s="1"/>
  <c r="H44" i="5" s="1"/>
  <c r="J44" i="5" s="1"/>
  <c r="W44" i="5" s="1"/>
  <c r="R44" i="5"/>
  <c r="E44" i="5"/>
  <c r="O44" i="5"/>
  <c r="P44" i="5"/>
  <c r="D44" i="5"/>
  <c r="N44" i="5"/>
  <c r="A153" i="6"/>
  <c r="A154" i="6"/>
  <c r="Q55" i="5"/>
  <c r="I55" i="5"/>
  <c r="A155" i="6"/>
  <c r="R55" i="5"/>
  <c r="E55" i="5"/>
  <c r="P55" i="5"/>
  <c r="S55" i="5" s="1"/>
  <c r="D55" i="5"/>
  <c r="O55" i="5"/>
  <c r="N55" i="5"/>
  <c r="F55" i="5"/>
  <c r="G55" i="5" s="1"/>
  <c r="V55" i="5"/>
  <c r="A177" i="6"/>
  <c r="K63" i="5"/>
  <c r="A179" i="6"/>
  <c r="Q63" i="5"/>
  <c r="I63" i="5"/>
  <c r="A178" i="6"/>
  <c r="J63" i="5"/>
  <c r="W63" i="5"/>
  <c r="V63" i="5"/>
  <c r="F63" i="5"/>
  <c r="G63" i="5" s="1"/>
  <c r="R63" i="5"/>
  <c r="E63" i="5"/>
  <c r="O63" i="5"/>
  <c r="P63" i="5"/>
  <c r="T63" i="5" s="1"/>
  <c r="D63" i="5"/>
  <c r="N63" i="5"/>
  <c r="A201" i="6"/>
  <c r="A203" i="6"/>
  <c r="K71" i="5"/>
  <c r="Q71" i="5"/>
  <c r="I71" i="5"/>
  <c r="A202" i="6"/>
  <c r="O71" i="5"/>
  <c r="E71" i="5"/>
  <c r="P71" i="5"/>
  <c r="S71" i="5" s="1"/>
  <c r="D71" i="5"/>
  <c r="F71" i="5" s="1"/>
  <c r="G71" i="5" s="1"/>
  <c r="H71" i="5" s="1"/>
  <c r="N71" i="5"/>
  <c r="R71" i="5"/>
  <c r="W71" i="5"/>
  <c r="J71" i="5"/>
  <c r="V71" i="5"/>
  <c r="A225" i="6"/>
  <c r="A227" i="6"/>
  <c r="A226" i="6"/>
  <c r="S79" i="5"/>
  <c r="K79" i="5"/>
  <c r="Q79" i="5"/>
  <c r="I79" i="5"/>
  <c r="O79" i="5"/>
  <c r="E79" i="5"/>
  <c r="R79" i="5"/>
  <c r="P79" i="5"/>
  <c r="T79" i="5" s="1"/>
  <c r="D79" i="5"/>
  <c r="F79" i="5" s="1"/>
  <c r="G79" i="5" s="1"/>
  <c r="N79" i="5"/>
  <c r="W79" i="5"/>
  <c r="J79" i="5"/>
  <c r="V79" i="5"/>
  <c r="A249" i="6"/>
  <c r="A251" i="6"/>
  <c r="A250" i="6"/>
  <c r="K87" i="5"/>
  <c r="Q87" i="5"/>
  <c r="I87" i="5"/>
  <c r="O87" i="5"/>
  <c r="E87" i="5"/>
  <c r="R87" i="5"/>
  <c r="F87" i="5"/>
  <c r="G87" i="5" s="1"/>
  <c r="J87" i="5"/>
  <c r="W87" i="5"/>
  <c r="V87" i="5"/>
  <c r="D87" i="5"/>
  <c r="P87" i="5"/>
  <c r="N87" i="5"/>
  <c r="A273" i="6"/>
  <c r="A275" i="6"/>
  <c r="W95" i="5"/>
  <c r="O95" i="5"/>
  <c r="A274" i="6"/>
  <c r="J95" i="5"/>
  <c r="Q95" i="5"/>
  <c r="E95" i="5"/>
  <c r="I95" i="5"/>
  <c r="V95" i="5"/>
  <c r="D95" i="5"/>
  <c r="F95" i="5" s="1"/>
  <c r="G95" i="5" s="1"/>
  <c r="R95" i="5"/>
  <c r="N95" i="5"/>
  <c r="P95" i="5"/>
  <c r="S95" i="5" s="1"/>
  <c r="K95" i="5"/>
  <c r="A85" i="6"/>
  <c r="R32" i="5"/>
  <c r="Q32" i="5"/>
  <c r="I32" i="5"/>
  <c r="A84" i="6"/>
  <c r="N32" i="5"/>
  <c r="D32" i="5"/>
  <c r="V32" i="5"/>
  <c r="T32" i="5"/>
  <c r="A86" i="6"/>
  <c r="P32" i="5"/>
  <c r="S32" i="5" s="1"/>
  <c r="E32" i="5"/>
  <c r="O32" i="5"/>
  <c r="F32" i="5"/>
  <c r="G32" i="5" s="1"/>
  <c r="H32" i="5" s="1"/>
  <c r="J32" i="5" s="1"/>
  <c r="A55" i="6"/>
  <c r="R22" i="5"/>
  <c r="Q22" i="5"/>
  <c r="A56" i="6"/>
  <c r="A54" i="6"/>
  <c r="G22" i="5"/>
  <c r="H22" i="5" s="1"/>
  <c r="I22" i="5" s="1"/>
  <c r="P22" i="5"/>
  <c r="T22" i="5" s="1"/>
  <c r="O22" i="5"/>
  <c r="E22" i="5"/>
  <c r="N22" i="5"/>
  <c r="F22" i="5"/>
  <c r="D22" i="5"/>
  <c r="A33" i="6"/>
  <c r="R15" i="5"/>
  <c r="Q15" i="5"/>
  <c r="A34" i="6"/>
  <c r="P15" i="5"/>
  <c r="S15" i="5" s="1"/>
  <c r="F15" i="5"/>
  <c r="G15" i="5" s="1"/>
  <c r="O15" i="5"/>
  <c r="E15" i="5"/>
  <c r="N15" i="5"/>
  <c r="D15" i="5"/>
  <c r="A35" i="6"/>
  <c r="A111" i="6"/>
  <c r="A113" i="6"/>
  <c r="A112" i="6"/>
  <c r="R41" i="5"/>
  <c r="Q41" i="5"/>
  <c r="I41" i="5"/>
  <c r="S41" i="5"/>
  <c r="G41" i="5"/>
  <c r="H41" i="5" s="1"/>
  <c r="J41" i="5" s="1"/>
  <c r="W41" i="5" s="1"/>
  <c r="P41" i="5"/>
  <c r="T41" i="5" s="1"/>
  <c r="F41" i="5"/>
  <c r="O41" i="5"/>
  <c r="E41" i="5"/>
  <c r="N41" i="5"/>
  <c r="V41" i="5"/>
  <c r="D41" i="5"/>
  <c r="A291" i="6"/>
  <c r="W101" i="5"/>
  <c r="O101" i="5"/>
  <c r="G101" i="5"/>
  <c r="E101" i="5"/>
  <c r="A293" i="6"/>
  <c r="I101" i="5"/>
  <c r="Q101" i="5"/>
  <c r="A292" i="6"/>
  <c r="P101" i="5"/>
  <c r="T101" i="5" s="1"/>
  <c r="K101" i="5"/>
  <c r="N101" i="5"/>
  <c r="J101" i="5"/>
  <c r="D101" i="5"/>
  <c r="F101" i="5" s="1"/>
  <c r="R101" i="5"/>
  <c r="V101" i="5"/>
  <c r="A71" i="6"/>
  <c r="A69" i="6"/>
  <c r="R27" i="5"/>
  <c r="Q27" i="5"/>
  <c r="A70" i="6"/>
  <c r="G27" i="5"/>
  <c r="H27" i="5" s="1"/>
  <c r="I27" i="5" s="1"/>
  <c r="P27" i="5"/>
  <c r="S27" i="5" s="1"/>
  <c r="D27" i="5"/>
  <c r="O27" i="5"/>
  <c r="N27" i="5"/>
  <c r="E27" i="5"/>
  <c r="F27" i="5"/>
  <c r="A124" i="6"/>
  <c r="A125" i="6"/>
  <c r="Q45" i="5"/>
  <c r="I45" i="5"/>
  <c r="R45" i="5"/>
  <c r="P45" i="5"/>
  <c r="T45" i="5" s="1"/>
  <c r="F45" i="5"/>
  <c r="G45" i="5" s="1"/>
  <c r="H45" i="5" s="1"/>
  <c r="J45" i="5"/>
  <c r="K45" i="5" s="1"/>
  <c r="L45" i="5" s="1"/>
  <c r="M45" i="5" s="1"/>
  <c r="X45" i="5" s="1"/>
  <c r="V45" i="5"/>
  <c r="E45" i="5"/>
  <c r="D45" i="5"/>
  <c r="O45" i="5"/>
  <c r="N45" i="5"/>
  <c r="A123" i="6"/>
  <c r="A156" i="6"/>
  <c r="A157" i="6"/>
  <c r="A158" i="6"/>
  <c r="S56" i="5"/>
  <c r="K56" i="5"/>
  <c r="Q56" i="5"/>
  <c r="I56" i="5"/>
  <c r="P56" i="5"/>
  <c r="O56" i="5"/>
  <c r="E56" i="5"/>
  <c r="V56" i="5"/>
  <c r="T56" i="5"/>
  <c r="D56" i="5"/>
  <c r="F56" i="5" s="1"/>
  <c r="G56" i="5" s="1"/>
  <c r="N56" i="5"/>
  <c r="R56" i="5"/>
  <c r="J56" i="5"/>
  <c r="W56" i="5"/>
  <c r="A180" i="6"/>
  <c r="A181" i="6"/>
  <c r="S64" i="5"/>
  <c r="K64" i="5"/>
  <c r="Q64" i="5"/>
  <c r="I64" i="5"/>
  <c r="A182" i="6"/>
  <c r="P64" i="5"/>
  <c r="T64" i="5" s="1"/>
  <c r="O64" i="5"/>
  <c r="E64" i="5"/>
  <c r="W64" i="5"/>
  <c r="J64" i="5"/>
  <c r="V64" i="5"/>
  <c r="D64" i="5"/>
  <c r="F64" i="5" s="1"/>
  <c r="G64" i="5" s="1"/>
  <c r="N64" i="5"/>
  <c r="U64" i="5" s="1"/>
  <c r="R64" i="5"/>
  <c r="S72" i="5"/>
  <c r="K72" i="5"/>
  <c r="A205" i="6"/>
  <c r="Q72" i="5"/>
  <c r="I72" i="5"/>
  <c r="V72" i="5"/>
  <c r="N72" i="5"/>
  <c r="A206" i="6"/>
  <c r="R72" i="5"/>
  <c r="D72" i="5"/>
  <c r="F72" i="5" s="1"/>
  <c r="G72" i="5" s="1"/>
  <c r="P72" i="5"/>
  <c r="A204" i="6"/>
  <c r="O72" i="5"/>
  <c r="J72" i="5"/>
  <c r="E72" i="5"/>
  <c r="W72" i="5"/>
  <c r="T72" i="5"/>
  <c r="U72" i="5" s="1"/>
  <c r="A230" i="6"/>
  <c r="K80" i="5"/>
  <c r="Q80" i="5"/>
  <c r="I80" i="5"/>
  <c r="A228" i="6"/>
  <c r="V80" i="5"/>
  <c r="O80" i="5"/>
  <c r="D80" i="5"/>
  <c r="F80" i="5" s="1"/>
  <c r="G80" i="5" s="1"/>
  <c r="A229" i="6"/>
  <c r="N80" i="5"/>
  <c r="E80" i="5"/>
  <c r="R80" i="5"/>
  <c r="P80" i="5"/>
  <c r="J80" i="5"/>
  <c r="W80" i="5"/>
  <c r="A253" i="6"/>
  <c r="K88" i="5"/>
  <c r="A254" i="6"/>
  <c r="A252" i="6"/>
  <c r="Q88" i="5"/>
  <c r="I88" i="5"/>
  <c r="V88" i="5"/>
  <c r="P88" i="5"/>
  <c r="T88" i="5" s="1"/>
  <c r="E88" i="5"/>
  <c r="D88" i="5"/>
  <c r="F88" i="5" s="1"/>
  <c r="G88" i="5" s="1"/>
  <c r="O88" i="5"/>
  <c r="R88" i="5"/>
  <c r="N88" i="5"/>
  <c r="J88" i="5"/>
  <c r="W88" i="5"/>
  <c r="A285" i="6"/>
  <c r="W99" i="5"/>
  <c r="O99" i="5"/>
  <c r="G99" i="5"/>
  <c r="E99" i="5"/>
  <c r="A287" i="6"/>
  <c r="N99" i="5"/>
  <c r="V99" i="5"/>
  <c r="K99" i="5"/>
  <c r="A286" i="6"/>
  <c r="I99" i="5"/>
  <c r="P99" i="5"/>
  <c r="T99" i="5" s="1"/>
  <c r="R99" i="5"/>
  <c r="Q99" i="5"/>
  <c r="J99" i="5"/>
  <c r="H99" i="5"/>
  <c r="F99" i="5"/>
  <c r="D99" i="5"/>
  <c r="A25" i="6"/>
  <c r="A26" i="6"/>
  <c r="R12" i="5"/>
  <c r="Q12" i="5"/>
  <c r="T12" i="5"/>
  <c r="S12" i="5"/>
  <c r="P12" i="5"/>
  <c r="F12" i="5"/>
  <c r="G12" i="5" s="1"/>
  <c r="H12" i="5" s="1"/>
  <c r="I12" i="5" s="1"/>
  <c r="V12" i="5" s="1"/>
  <c r="O12" i="5"/>
  <c r="E12" i="5"/>
  <c r="D12" i="5"/>
  <c r="A24" i="6"/>
  <c r="N12" i="5"/>
  <c r="A164" i="6"/>
  <c r="K58" i="5"/>
  <c r="A163" i="6"/>
  <c r="Q58" i="5"/>
  <c r="I58" i="5"/>
  <c r="A162" i="6"/>
  <c r="R58" i="5"/>
  <c r="W58" i="5"/>
  <c r="J58" i="5"/>
  <c r="V58" i="5"/>
  <c r="D58" i="5"/>
  <c r="F58" i="5" s="1"/>
  <c r="G58" i="5" s="1"/>
  <c r="E58" i="5"/>
  <c r="P58" i="5"/>
  <c r="N58" i="5"/>
  <c r="O58" i="5"/>
  <c r="A235" i="6"/>
  <c r="A236" i="6"/>
  <c r="A234" i="6"/>
  <c r="S82" i="5"/>
  <c r="K82" i="5"/>
  <c r="Q82" i="5"/>
  <c r="I82" i="5"/>
  <c r="N82" i="5"/>
  <c r="D82" i="5"/>
  <c r="W82" i="5"/>
  <c r="J82" i="5"/>
  <c r="V82" i="5"/>
  <c r="F82" i="5"/>
  <c r="G82" i="5" s="1"/>
  <c r="E82" i="5"/>
  <c r="R82" i="5"/>
  <c r="P82" i="5"/>
  <c r="T82" i="5" s="1"/>
  <c r="O82" i="5"/>
  <c r="A15" i="6"/>
  <c r="A17" i="6"/>
  <c r="A16" i="6"/>
  <c r="R9" i="5"/>
  <c r="Q9" i="5"/>
  <c r="T9" i="5"/>
  <c r="P9" i="5"/>
  <c r="S9" i="5" s="1"/>
  <c r="F9" i="5"/>
  <c r="G9" i="5" s="1"/>
  <c r="H9" i="5" s="1"/>
  <c r="I9" i="5" s="1"/>
  <c r="D9" i="5"/>
  <c r="N9" i="5"/>
  <c r="O9" i="5"/>
  <c r="E9" i="5"/>
  <c r="W104" i="5"/>
  <c r="O104" i="5"/>
  <c r="G104" i="5"/>
  <c r="H104" i="5" s="1"/>
  <c r="L104" i="5" s="1"/>
  <c r="M104" i="5" s="1"/>
  <c r="X104" i="5" s="1"/>
  <c r="E104" i="5"/>
  <c r="A301" i="6"/>
  <c r="V104" i="5"/>
  <c r="K104" i="5"/>
  <c r="I104" i="5"/>
  <c r="R104" i="5"/>
  <c r="A302" i="6"/>
  <c r="Q104" i="5"/>
  <c r="A300" i="6"/>
  <c r="P104" i="5"/>
  <c r="S104" i="5" s="1"/>
  <c r="N104" i="5"/>
  <c r="J104" i="5"/>
  <c r="D104" i="5"/>
  <c r="F104" i="5" s="1"/>
  <c r="A239" i="6"/>
  <c r="K83" i="5"/>
  <c r="A238" i="6"/>
  <c r="Q83" i="5"/>
  <c r="I83" i="5"/>
  <c r="A237" i="6"/>
  <c r="J83" i="5"/>
  <c r="W83" i="5"/>
  <c r="P83" i="5"/>
  <c r="S83" i="5" s="1"/>
  <c r="O83" i="5"/>
  <c r="N83" i="5"/>
  <c r="V83" i="5"/>
  <c r="E83" i="5"/>
  <c r="D83" i="5"/>
  <c r="F83" i="5" s="1"/>
  <c r="G83" i="5" s="1"/>
  <c r="R83" i="5"/>
  <c r="A39" i="6"/>
  <c r="A41" i="6"/>
  <c r="A40" i="6"/>
  <c r="R17" i="5"/>
  <c r="Q17" i="5"/>
  <c r="P17" i="5"/>
  <c r="T17" i="5" s="1"/>
  <c r="F17" i="5"/>
  <c r="G17" i="5" s="1"/>
  <c r="D17" i="5"/>
  <c r="N17" i="5"/>
  <c r="O17" i="5"/>
  <c r="E17" i="5"/>
  <c r="A283" i="6"/>
  <c r="A282" i="6"/>
  <c r="W98" i="5"/>
  <c r="O98" i="5"/>
  <c r="G98" i="5"/>
  <c r="E98" i="5"/>
  <c r="Q98" i="5"/>
  <c r="N98" i="5"/>
  <c r="I98" i="5"/>
  <c r="V98" i="5"/>
  <c r="D98" i="5"/>
  <c r="F98" i="5" s="1"/>
  <c r="A284" i="6"/>
  <c r="S98" i="5"/>
  <c r="R98" i="5"/>
  <c r="P98" i="5"/>
  <c r="T98" i="5" s="1"/>
  <c r="K98" i="5"/>
  <c r="J98" i="5"/>
  <c r="A217" i="6"/>
  <c r="A218" i="6"/>
  <c r="K76" i="5"/>
  <c r="Q76" i="5"/>
  <c r="I76" i="5"/>
  <c r="P76" i="5"/>
  <c r="S76" i="5" s="1"/>
  <c r="V76" i="5"/>
  <c r="J76" i="5"/>
  <c r="A216" i="6"/>
  <c r="D76" i="5"/>
  <c r="F76" i="5" s="1"/>
  <c r="G76" i="5" s="1"/>
  <c r="W76" i="5"/>
  <c r="E76" i="5"/>
  <c r="N76" i="5"/>
  <c r="R76" i="5"/>
  <c r="O76" i="5"/>
  <c r="A37" i="6"/>
  <c r="R16" i="5"/>
  <c r="A36" i="6"/>
  <c r="Q16" i="5"/>
  <c r="A38" i="6"/>
  <c r="N16" i="5"/>
  <c r="D16" i="5"/>
  <c r="G16" i="5"/>
  <c r="H16" i="5" s="1"/>
  <c r="I16" i="5" s="1"/>
  <c r="P16" i="5"/>
  <c r="F16" i="5"/>
  <c r="E16" i="5"/>
  <c r="O16" i="5"/>
  <c r="A281" i="6"/>
  <c r="A279" i="6"/>
  <c r="W97" i="5"/>
  <c r="O97" i="5"/>
  <c r="G97" i="5"/>
  <c r="J97" i="5"/>
  <c r="Q97" i="5"/>
  <c r="H97" i="5"/>
  <c r="L97" i="5" s="1"/>
  <c r="M97" i="5" s="1"/>
  <c r="X97" i="5" s="1"/>
  <c r="P97" i="5"/>
  <c r="D97" i="5"/>
  <c r="F97" i="5" s="1"/>
  <c r="N97" i="5"/>
  <c r="A280" i="6"/>
  <c r="E97" i="5"/>
  <c r="V97" i="5"/>
  <c r="R97" i="5"/>
  <c r="K97" i="5"/>
  <c r="I97" i="5"/>
  <c r="A243" i="6"/>
  <c r="A245" i="6"/>
  <c r="K85" i="5"/>
  <c r="A244" i="6"/>
  <c r="Q85" i="5"/>
  <c r="I85" i="5"/>
  <c r="W85" i="5"/>
  <c r="N85" i="5"/>
  <c r="J85" i="5"/>
  <c r="V85" i="5"/>
  <c r="E85" i="5"/>
  <c r="D85" i="5"/>
  <c r="F85" i="5" s="1"/>
  <c r="G85" i="5" s="1"/>
  <c r="R85" i="5"/>
  <c r="P85" i="5"/>
  <c r="O85" i="5"/>
  <c r="A79" i="6"/>
  <c r="A80" i="6"/>
  <c r="R30" i="5"/>
  <c r="Q30" i="5"/>
  <c r="A78" i="6"/>
  <c r="P30" i="5"/>
  <c r="S30" i="5" s="1"/>
  <c r="F30" i="5"/>
  <c r="G30" i="5" s="1"/>
  <c r="H30" i="5" s="1"/>
  <c r="I30" i="5" s="1"/>
  <c r="O30" i="5"/>
  <c r="N30" i="5"/>
  <c r="D30" i="5"/>
  <c r="E30" i="5"/>
  <c r="A61" i="6"/>
  <c r="R24" i="5"/>
  <c r="A60" i="6"/>
  <c r="Q24" i="5"/>
  <c r="A62" i="6"/>
  <c r="N24" i="5"/>
  <c r="D24" i="5"/>
  <c r="P24" i="5"/>
  <c r="F24" i="5"/>
  <c r="G24" i="5" s="1"/>
  <c r="H24" i="5" s="1"/>
  <c r="I24" i="5" s="1"/>
  <c r="E24" i="5"/>
  <c r="O24" i="5"/>
  <c r="A49" i="6"/>
  <c r="A48" i="6"/>
  <c r="R20" i="5"/>
  <c r="Q20" i="5"/>
  <c r="A50" i="6"/>
  <c r="P20" i="5"/>
  <c r="T20" i="5" s="1"/>
  <c r="F20" i="5"/>
  <c r="G20" i="5" s="1"/>
  <c r="O20" i="5"/>
  <c r="E20" i="5"/>
  <c r="D20" i="5"/>
  <c r="N20" i="5"/>
  <c r="A73" i="6"/>
  <c r="A72" i="6"/>
  <c r="R28" i="5"/>
  <c r="A74" i="6"/>
  <c r="Q28" i="5"/>
  <c r="S28" i="5"/>
  <c r="G28" i="5"/>
  <c r="P28" i="5"/>
  <c r="T28" i="5" s="1"/>
  <c r="F28" i="5"/>
  <c r="N28" i="5"/>
  <c r="D28" i="5"/>
  <c r="O28" i="5"/>
  <c r="E28" i="5"/>
  <c r="A81" i="6"/>
  <c r="A83" i="6"/>
  <c r="R31" i="5"/>
  <c r="A82" i="6"/>
  <c r="Q31" i="5"/>
  <c r="I31" i="5"/>
  <c r="P31" i="5"/>
  <c r="F31" i="5"/>
  <c r="G31" i="5" s="1"/>
  <c r="O31" i="5"/>
  <c r="E31" i="5"/>
  <c r="N31" i="5"/>
  <c r="D31" i="5"/>
  <c r="V31" i="5"/>
  <c r="A28" i="6"/>
  <c r="R13" i="5"/>
  <c r="Q13" i="5"/>
  <c r="O13" i="5"/>
  <c r="E13" i="5"/>
  <c r="A29" i="6"/>
  <c r="N13" i="5"/>
  <c r="D13" i="5"/>
  <c r="A27" i="6"/>
  <c r="F13" i="5"/>
  <c r="G13" i="5" s="1"/>
  <c r="H13" i="5" s="1"/>
  <c r="I13" i="5" s="1"/>
  <c r="P13" i="5"/>
  <c r="T13" i="5" s="1"/>
  <c r="A95" i="6"/>
  <c r="A93" i="6"/>
  <c r="R35" i="5"/>
  <c r="Q35" i="5"/>
  <c r="I35" i="5"/>
  <c r="V35" i="5"/>
  <c r="A94" i="6"/>
  <c r="U35" i="5"/>
  <c r="T35" i="5"/>
  <c r="P35" i="5"/>
  <c r="S35" i="5" s="1"/>
  <c r="E35" i="5"/>
  <c r="O35" i="5"/>
  <c r="F35" i="5"/>
  <c r="G35" i="5" s="1"/>
  <c r="D35" i="5"/>
  <c r="N35" i="5"/>
  <c r="A129" i="6"/>
  <c r="A131" i="6"/>
  <c r="Q47" i="5"/>
  <c r="I47" i="5"/>
  <c r="A130" i="6"/>
  <c r="T47" i="5"/>
  <c r="O47" i="5"/>
  <c r="N47" i="5"/>
  <c r="F47" i="5"/>
  <c r="G47" i="5" s="1"/>
  <c r="V47" i="5"/>
  <c r="P47" i="5"/>
  <c r="S47" i="5" s="1"/>
  <c r="E47" i="5"/>
  <c r="R47" i="5"/>
  <c r="D47" i="5"/>
  <c r="A160" i="6"/>
  <c r="A161" i="6"/>
  <c r="K57" i="5"/>
  <c r="Q57" i="5"/>
  <c r="I57" i="5"/>
  <c r="A159" i="6"/>
  <c r="W57" i="5"/>
  <c r="V57" i="5"/>
  <c r="R57" i="5"/>
  <c r="E57" i="5"/>
  <c r="P57" i="5"/>
  <c r="T57" i="5" s="1"/>
  <c r="D57" i="5"/>
  <c r="F57" i="5" s="1"/>
  <c r="G57" i="5" s="1"/>
  <c r="O57" i="5"/>
  <c r="N57" i="5"/>
  <c r="J57" i="5"/>
  <c r="A185" i="6"/>
  <c r="A183" i="6"/>
  <c r="K65" i="5"/>
  <c r="Q65" i="5"/>
  <c r="I65" i="5"/>
  <c r="W65" i="5"/>
  <c r="V65" i="5"/>
  <c r="J65" i="5"/>
  <c r="A184" i="6"/>
  <c r="R65" i="5"/>
  <c r="E65" i="5"/>
  <c r="D65" i="5"/>
  <c r="F65" i="5" s="1"/>
  <c r="G65" i="5" s="1"/>
  <c r="P65" i="5"/>
  <c r="O65" i="5"/>
  <c r="N65" i="5"/>
  <c r="A209" i="6"/>
  <c r="A207" i="6"/>
  <c r="K73" i="5"/>
  <c r="Q73" i="5"/>
  <c r="I73" i="5"/>
  <c r="R73" i="5"/>
  <c r="A208" i="6"/>
  <c r="W73" i="5"/>
  <c r="V73" i="5"/>
  <c r="E73" i="5"/>
  <c r="D73" i="5"/>
  <c r="F73" i="5" s="1"/>
  <c r="G73" i="5" s="1"/>
  <c r="P73" i="5"/>
  <c r="O73" i="5"/>
  <c r="J73" i="5"/>
  <c r="N73" i="5"/>
  <c r="A233" i="6"/>
  <c r="K81" i="5"/>
  <c r="A232" i="6"/>
  <c r="Q81" i="5"/>
  <c r="I81" i="5"/>
  <c r="A231" i="6"/>
  <c r="R81" i="5"/>
  <c r="N81" i="5"/>
  <c r="V81" i="5"/>
  <c r="E81" i="5"/>
  <c r="T81" i="5"/>
  <c r="D81" i="5"/>
  <c r="F81" i="5" s="1"/>
  <c r="G81" i="5" s="1"/>
  <c r="O81" i="5"/>
  <c r="P81" i="5"/>
  <c r="S81" i="5" s="1"/>
  <c r="W81" i="5"/>
  <c r="J81" i="5"/>
  <c r="A257" i="6"/>
  <c r="K89" i="5"/>
  <c r="A256" i="6"/>
  <c r="Q89" i="5"/>
  <c r="I89" i="5"/>
  <c r="R89" i="5"/>
  <c r="O89" i="5"/>
  <c r="D89" i="5"/>
  <c r="A255" i="6"/>
  <c r="N89" i="5"/>
  <c r="V89" i="5"/>
  <c r="F89" i="5"/>
  <c r="G89" i="5" s="1"/>
  <c r="E89" i="5"/>
  <c r="T89" i="5"/>
  <c r="P89" i="5"/>
  <c r="S89" i="5" s="1"/>
  <c r="W89" i="5"/>
  <c r="J89" i="5"/>
  <c r="A297" i="6"/>
  <c r="A299" i="6"/>
  <c r="W103" i="5"/>
  <c r="O103" i="5"/>
  <c r="G103" i="5"/>
  <c r="E103" i="5"/>
  <c r="N103" i="5"/>
  <c r="V103" i="5"/>
  <c r="K103" i="5"/>
  <c r="I103" i="5"/>
  <c r="A298" i="6"/>
  <c r="J103" i="5"/>
  <c r="D103" i="5"/>
  <c r="F103" i="5" s="1"/>
  <c r="R103" i="5"/>
  <c r="Q103" i="5"/>
  <c r="P103" i="5"/>
  <c r="K33" i="5" l="1"/>
  <c r="W33" i="5"/>
  <c r="T87" i="5"/>
  <c r="S87" i="5"/>
  <c r="D251" i="6" s="1"/>
  <c r="S18" i="5"/>
  <c r="D44" i="6" s="1"/>
  <c r="F44" i="6" s="1"/>
  <c r="T18" i="5"/>
  <c r="S66" i="5"/>
  <c r="T66" i="5"/>
  <c r="U34" i="5"/>
  <c r="T58" i="5"/>
  <c r="S58" i="5"/>
  <c r="U58" i="5" s="1"/>
  <c r="S65" i="5"/>
  <c r="T65" i="5"/>
  <c r="T97" i="5"/>
  <c r="S97" i="5"/>
  <c r="U97" i="5" s="1"/>
  <c r="H98" i="5"/>
  <c r="L98" i="5" s="1"/>
  <c r="M98" i="5" s="1"/>
  <c r="X98" i="5" s="1"/>
  <c r="G284" i="6" s="1"/>
  <c r="S33" i="5"/>
  <c r="T33" i="5"/>
  <c r="U33" i="5" s="1"/>
  <c r="T27" i="5"/>
  <c r="U27" i="5" s="1"/>
  <c r="L87" i="5"/>
  <c r="M87" i="5" s="1"/>
  <c r="X87" i="5" s="1"/>
  <c r="H87" i="5"/>
  <c r="T78" i="5"/>
  <c r="S78" i="5"/>
  <c r="U78" i="5" s="1"/>
  <c r="S73" i="5"/>
  <c r="U73" i="5" s="1"/>
  <c r="T73" i="5"/>
  <c r="S31" i="5"/>
  <c r="D83" i="6" s="1"/>
  <c r="T31" i="5"/>
  <c r="T85" i="5"/>
  <c r="S85" i="5"/>
  <c r="V27" i="5"/>
  <c r="J27" i="5"/>
  <c r="W27" i="5" s="1"/>
  <c r="S44" i="5"/>
  <c r="U44" i="5" s="1"/>
  <c r="T44" i="5"/>
  <c r="H91" i="5"/>
  <c r="L91" i="5" s="1"/>
  <c r="M91" i="5" s="1"/>
  <c r="X91" i="5" s="1"/>
  <c r="S59" i="5"/>
  <c r="T59" i="5"/>
  <c r="S49" i="5"/>
  <c r="U49" i="5" s="1"/>
  <c r="T49" i="5"/>
  <c r="H89" i="5"/>
  <c r="L89" i="5" s="1"/>
  <c r="M89" i="5" s="1"/>
  <c r="X89" i="5" s="1"/>
  <c r="G257" i="6" s="1"/>
  <c r="T30" i="5"/>
  <c r="U30" i="5" s="1"/>
  <c r="T104" i="5"/>
  <c r="T26" i="5"/>
  <c r="S26" i="5"/>
  <c r="S24" i="5"/>
  <c r="D62" i="6" s="1"/>
  <c r="T24" i="5"/>
  <c r="T16" i="5"/>
  <c r="S16" i="5"/>
  <c r="D38" i="6" s="1"/>
  <c r="F38" i="6" s="1"/>
  <c r="U80" i="5"/>
  <c r="U12" i="5"/>
  <c r="T103" i="5"/>
  <c r="S103" i="5"/>
  <c r="S80" i="5"/>
  <c r="T80" i="5"/>
  <c r="U22" i="5"/>
  <c r="U79" i="5"/>
  <c r="T42" i="5"/>
  <c r="S42" i="5"/>
  <c r="D116" i="6" s="1"/>
  <c r="T36" i="5"/>
  <c r="S36" i="5"/>
  <c r="U46" i="5"/>
  <c r="U52" i="5"/>
  <c r="U100" i="5"/>
  <c r="U8" i="5"/>
  <c r="U36" i="5"/>
  <c r="U26" i="5"/>
  <c r="T52" i="5"/>
  <c r="U60" i="5"/>
  <c r="U50" i="5"/>
  <c r="W11" i="5"/>
  <c r="U102" i="5"/>
  <c r="U89" i="5"/>
  <c r="U86" i="5"/>
  <c r="U103" i="5"/>
  <c r="U28" i="5"/>
  <c r="T76" i="5"/>
  <c r="U76" i="5" s="1"/>
  <c r="U81" i="5"/>
  <c r="U24" i="5"/>
  <c r="S17" i="5"/>
  <c r="U17" i="5" s="1"/>
  <c r="T83" i="5"/>
  <c r="S22" i="5"/>
  <c r="S57" i="5"/>
  <c r="U57" i="5" s="1"/>
  <c r="S20" i="5"/>
  <c r="U20" i="5" s="1"/>
  <c r="U98" i="5"/>
  <c r="U82" i="5"/>
  <c r="U56" i="5"/>
  <c r="S63" i="5"/>
  <c r="T77" i="5"/>
  <c r="T54" i="5"/>
  <c r="U54" i="5" s="1"/>
  <c r="S23" i="5"/>
  <c r="U23" i="5" s="1"/>
  <c r="U47" i="5"/>
  <c r="U69" i="5"/>
  <c r="H15" i="5"/>
  <c r="I15" i="5" s="1"/>
  <c r="W36" i="5"/>
  <c r="G97" i="6" s="1"/>
  <c r="H97" i="6" s="1"/>
  <c r="K36" i="5"/>
  <c r="H81" i="5"/>
  <c r="L81" i="5"/>
  <c r="M81" i="5" s="1"/>
  <c r="X81" i="5" s="1"/>
  <c r="H82" i="5"/>
  <c r="L82" i="5" s="1"/>
  <c r="M82" i="5" s="1"/>
  <c r="X82" i="5" s="1"/>
  <c r="V23" i="5"/>
  <c r="J23" i="5"/>
  <c r="H94" i="5"/>
  <c r="L94" i="5"/>
  <c r="M94" i="5" s="1"/>
  <c r="X94" i="5" s="1"/>
  <c r="H34" i="5"/>
  <c r="J34" i="5" s="1"/>
  <c r="H73" i="5"/>
  <c r="L73" i="5" s="1"/>
  <c r="M73" i="5" s="1"/>
  <c r="X73" i="5" s="1"/>
  <c r="H65" i="5"/>
  <c r="L65" i="5" s="1"/>
  <c r="M65" i="5" s="1"/>
  <c r="X65" i="5" s="1"/>
  <c r="H58" i="5"/>
  <c r="L58" i="5" s="1"/>
  <c r="M58" i="5" s="1"/>
  <c r="X58" i="5" s="1"/>
  <c r="H64" i="5"/>
  <c r="L64" i="5" s="1"/>
  <c r="M64" i="5" s="1"/>
  <c r="X64" i="5" s="1"/>
  <c r="H77" i="5"/>
  <c r="L77" i="5"/>
  <c r="M77" i="5" s="1"/>
  <c r="X77" i="5" s="1"/>
  <c r="K32" i="5"/>
  <c r="W32" i="5"/>
  <c r="U101" i="5"/>
  <c r="H95" i="5"/>
  <c r="L95" i="5" s="1"/>
  <c r="M95" i="5" s="1"/>
  <c r="X95" i="5" s="1"/>
  <c r="H69" i="5"/>
  <c r="L69" i="5" s="1"/>
  <c r="M69" i="5" s="1"/>
  <c r="X69" i="5" s="1"/>
  <c r="V13" i="5"/>
  <c r="J13" i="5"/>
  <c r="H31" i="5"/>
  <c r="J31" i="5" s="1"/>
  <c r="J16" i="5"/>
  <c r="V16" i="5"/>
  <c r="V24" i="5"/>
  <c r="J24" i="5"/>
  <c r="H5" i="2"/>
  <c r="H6" i="5"/>
  <c r="I6" i="5" s="1"/>
  <c r="H78" i="5"/>
  <c r="L78" i="5" s="1"/>
  <c r="M78" i="5" s="1"/>
  <c r="X78" i="5" s="1"/>
  <c r="H85" i="5"/>
  <c r="L85" i="5"/>
  <c r="M85" i="5" s="1"/>
  <c r="X85" i="5" s="1"/>
  <c r="H17" i="5"/>
  <c r="I17" i="5" s="1"/>
  <c r="J22" i="5"/>
  <c r="V22" i="5"/>
  <c r="L70" i="5"/>
  <c r="M70" i="5" s="1"/>
  <c r="X70" i="5" s="1"/>
  <c r="H70" i="5"/>
  <c r="J9" i="5"/>
  <c r="V9" i="5"/>
  <c r="H88" i="5"/>
  <c r="L88" i="5" s="1"/>
  <c r="M88" i="5" s="1"/>
  <c r="X88" i="5" s="1"/>
  <c r="J19" i="5"/>
  <c r="V19" i="5"/>
  <c r="K42" i="5"/>
  <c r="W42" i="5"/>
  <c r="H86" i="5"/>
  <c r="L86" i="5" s="1"/>
  <c r="M86" i="5" s="1"/>
  <c r="X86" i="5" s="1"/>
  <c r="K53" i="5"/>
  <c r="L53" i="5" s="1"/>
  <c r="M53" i="5" s="1"/>
  <c r="X53" i="5" s="1"/>
  <c r="W53" i="5"/>
  <c r="L103" i="5"/>
  <c r="M103" i="5" s="1"/>
  <c r="X103" i="5" s="1"/>
  <c r="G299" i="6" s="1"/>
  <c r="H57" i="5"/>
  <c r="L57" i="5" s="1"/>
  <c r="M57" i="5" s="1"/>
  <c r="X57" i="5" s="1"/>
  <c r="H47" i="5"/>
  <c r="J47" i="5" s="1"/>
  <c r="V30" i="5"/>
  <c r="J30" i="5"/>
  <c r="H83" i="5"/>
  <c r="L83" i="5"/>
  <c r="M83" i="5" s="1"/>
  <c r="X83" i="5" s="1"/>
  <c r="U104" i="5"/>
  <c r="U85" i="5"/>
  <c r="H76" i="5"/>
  <c r="L76" i="5" s="1"/>
  <c r="M76" i="5" s="1"/>
  <c r="X76" i="5" s="1"/>
  <c r="H80" i="5"/>
  <c r="L80" i="5" s="1"/>
  <c r="M80" i="5" s="1"/>
  <c r="X80" i="5" s="1"/>
  <c r="H72" i="5"/>
  <c r="L72" i="5" s="1"/>
  <c r="M72" i="5" s="1"/>
  <c r="X72" i="5" s="1"/>
  <c r="H56" i="5"/>
  <c r="L56" i="5" s="1"/>
  <c r="H48" i="5"/>
  <c r="J48" i="5" s="1"/>
  <c r="E33" i="6"/>
  <c r="C33" i="6"/>
  <c r="B33" i="6"/>
  <c r="D33" i="6"/>
  <c r="D273" i="6"/>
  <c r="F273" i="6" s="1"/>
  <c r="C273" i="6"/>
  <c r="B273" i="6"/>
  <c r="G273" i="6"/>
  <c r="E273" i="6"/>
  <c r="E174" i="6"/>
  <c r="C174" i="6"/>
  <c r="D174" i="6"/>
  <c r="G174" i="6" s="1"/>
  <c r="B174" i="6"/>
  <c r="H174" i="6"/>
  <c r="H43" i="5"/>
  <c r="J43" i="5" s="1"/>
  <c r="E118" i="6"/>
  <c r="C118" i="6"/>
  <c r="D118" i="6"/>
  <c r="F118" i="6" s="1"/>
  <c r="B118" i="6"/>
  <c r="E269" i="6"/>
  <c r="F269" i="6" s="1"/>
  <c r="C269" i="6"/>
  <c r="D269" i="6"/>
  <c r="G269" i="6"/>
  <c r="B269" i="6"/>
  <c r="C195" i="6"/>
  <c r="B195" i="6"/>
  <c r="E195" i="6"/>
  <c r="D195" i="6"/>
  <c r="G195" i="6" s="1"/>
  <c r="B242" i="6"/>
  <c r="D242" i="6"/>
  <c r="G242" i="6" s="1"/>
  <c r="C242" i="6"/>
  <c r="E242" i="6"/>
  <c r="H60" i="5"/>
  <c r="L60" i="5" s="1"/>
  <c r="M60" i="5" s="1"/>
  <c r="X60" i="5" s="1"/>
  <c r="G170" i="6" s="1"/>
  <c r="H51" i="5"/>
  <c r="J51" i="5" s="1"/>
  <c r="H18" i="5"/>
  <c r="I18" i="5" s="1"/>
  <c r="V29" i="5"/>
  <c r="J29" i="5"/>
  <c r="H39" i="5"/>
  <c r="J39" i="5" s="1"/>
  <c r="H8" i="5"/>
  <c r="I8" i="5" s="1"/>
  <c r="D302" i="6"/>
  <c r="F302" i="6" s="1"/>
  <c r="E302" i="6"/>
  <c r="C302" i="6"/>
  <c r="B302" i="6"/>
  <c r="B234" i="6"/>
  <c r="D234" i="6"/>
  <c r="H234" i="6" s="1"/>
  <c r="E234" i="6"/>
  <c r="C234" i="6"/>
  <c r="D230" i="6"/>
  <c r="F230" i="6" s="1"/>
  <c r="B230" i="6"/>
  <c r="E230" i="6"/>
  <c r="C230" i="6"/>
  <c r="E70" i="6"/>
  <c r="D70" i="6"/>
  <c r="G70" i="6" s="1"/>
  <c r="C70" i="6"/>
  <c r="B70" i="6"/>
  <c r="E112" i="6"/>
  <c r="F112" i="6" s="1"/>
  <c r="B112" i="6"/>
  <c r="D112" i="6"/>
  <c r="C112" i="6"/>
  <c r="G112" i="6"/>
  <c r="H112" i="6" s="1"/>
  <c r="F297" i="6"/>
  <c r="C297" i="6"/>
  <c r="B297" i="6"/>
  <c r="E297" i="6"/>
  <c r="D297" i="6"/>
  <c r="H297" i="6" s="1"/>
  <c r="E231" i="6"/>
  <c r="C231" i="6"/>
  <c r="D231" i="6"/>
  <c r="G231" i="6" s="1"/>
  <c r="B231" i="6"/>
  <c r="E129" i="6"/>
  <c r="C129" i="6"/>
  <c r="D129" i="6"/>
  <c r="G129" i="6" s="1"/>
  <c r="B129" i="6"/>
  <c r="E73" i="6"/>
  <c r="C73" i="6"/>
  <c r="F73" i="6"/>
  <c r="B73" i="6"/>
  <c r="D73" i="6"/>
  <c r="D280" i="6"/>
  <c r="B280" i="6"/>
  <c r="H280" i="6"/>
  <c r="E280" i="6"/>
  <c r="C280" i="6"/>
  <c r="E36" i="6"/>
  <c r="D36" i="6"/>
  <c r="F36" i="6" s="1"/>
  <c r="C36" i="6"/>
  <c r="B36" i="6"/>
  <c r="D216" i="6"/>
  <c r="B216" i="6"/>
  <c r="E216" i="6"/>
  <c r="C216" i="6"/>
  <c r="H216" i="6"/>
  <c r="B218" i="6"/>
  <c r="D218" i="6"/>
  <c r="C218" i="6"/>
  <c r="E218" i="6"/>
  <c r="D284" i="6"/>
  <c r="H284" i="6" s="1"/>
  <c r="B284" i="6"/>
  <c r="E284" i="6"/>
  <c r="C284" i="6"/>
  <c r="B282" i="6"/>
  <c r="E282" i="6"/>
  <c r="D282" i="6"/>
  <c r="G282" i="6" s="1"/>
  <c r="H282" i="6"/>
  <c r="C282" i="6"/>
  <c r="U9" i="5"/>
  <c r="E16" i="6"/>
  <c r="B16" i="6"/>
  <c r="D16" i="6"/>
  <c r="C16" i="6"/>
  <c r="D236" i="6"/>
  <c r="F236" i="6" s="1"/>
  <c r="B236" i="6"/>
  <c r="C236" i="6"/>
  <c r="E236" i="6"/>
  <c r="E164" i="6"/>
  <c r="C164" i="6"/>
  <c r="B164" i="6"/>
  <c r="D164" i="6"/>
  <c r="F164" i="6" s="1"/>
  <c r="D286" i="6"/>
  <c r="H286" i="6" s="1"/>
  <c r="E286" i="6"/>
  <c r="B286" i="6"/>
  <c r="C286" i="6"/>
  <c r="L99" i="5"/>
  <c r="M99" i="5" s="1"/>
  <c r="X99" i="5" s="1"/>
  <c r="S88" i="5"/>
  <c r="U88" i="5" s="1"/>
  <c r="D204" i="6"/>
  <c r="H204" i="6" s="1"/>
  <c r="B204" i="6"/>
  <c r="C204" i="6"/>
  <c r="E204" i="6"/>
  <c r="D182" i="6"/>
  <c r="E182" i="6"/>
  <c r="B182" i="6"/>
  <c r="C182" i="6"/>
  <c r="K27" i="5"/>
  <c r="L27" i="5" s="1"/>
  <c r="M27" i="5" s="1"/>
  <c r="X27" i="5" s="1"/>
  <c r="H101" i="5"/>
  <c r="L101" i="5" s="1"/>
  <c r="M101" i="5" s="1"/>
  <c r="X101" i="5" s="1"/>
  <c r="E113" i="6"/>
  <c r="C113" i="6"/>
  <c r="D113" i="6"/>
  <c r="G113" i="6"/>
  <c r="B113" i="6"/>
  <c r="U32" i="5"/>
  <c r="L32" i="5"/>
  <c r="M32" i="5" s="1"/>
  <c r="X32" i="5" s="1"/>
  <c r="T95" i="5"/>
  <c r="U95" i="5" s="1"/>
  <c r="H55" i="5"/>
  <c r="J55" i="5" s="1"/>
  <c r="T55" i="5"/>
  <c r="U55" i="5" s="1"/>
  <c r="S7" i="5"/>
  <c r="T7" i="5"/>
  <c r="E134" i="6"/>
  <c r="C134" i="6"/>
  <c r="D134" i="6"/>
  <c r="B134" i="6"/>
  <c r="F271" i="6"/>
  <c r="E271" i="6"/>
  <c r="C271" i="6"/>
  <c r="D271" i="6"/>
  <c r="G271" i="6" s="1"/>
  <c r="B271" i="6"/>
  <c r="E176" i="6"/>
  <c r="C176" i="6"/>
  <c r="F176" i="6"/>
  <c r="D176" i="6"/>
  <c r="B176" i="6"/>
  <c r="E147" i="6"/>
  <c r="C147" i="6"/>
  <c r="D147" i="6"/>
  <c r="F147" i="6" s="1"/>
  <c r="B147" i="6"/>
  <c r="D278" i="6"/>
  <c r="F278" i="6" s="1"/>
  <c r="E278" i="6"/>
  <c r="C278" i="6"/>
  <c r="B278" i="6"/>
  <c r="C267" i="6"/>
  <c r="B267" i="6"/>
  <c r="E267" i="6"/>
  <c r="D267" i="6"/>
  <c r="F267" i="6" s="1"/>
  <c r="E173" i="6"/>
  <c r="C173" i="6"/>
  <c r="B173" i="6"/>
  <c r="H59" i="5"/>
  <c r="L59" i="5"/>
  <c r="M59" i="5" s="1"/>
  <c r="X59" i="5" s="1"/>
  <c r="C299" i="6"/>
  <c r="B299" i="6"/>
  <c r="E299" i="6"/>
  <c r="D299" i="6"/>
  <c r="S13" i="5"/>
  <c r="U13" i="5" s="1"/>
  <c r="E27" i="6"/>
  <c r="C27" i="6"/>
  <c r="D27" i="6"/>
  <c r="F27" i="6" s="1"/>
  <c r="B27" i="6"/>
  <c r="E72" i="6"/>
  <c r="F72" i="6" s="1"/>
  <c r="B72" i="6"/>
  <c r="D72" i="6"/>
  <c r="C72" i="6"/>
  <c r="E60" i="6"/>
  <c r="D60" i="6"/>
  <c r="G60" i="6" s="1"/>
  <c r="H60" i="6" s="1"/>
  <c r="B60" i="6"/>
  <c r="F60" i="6"/>
  <c r="C60" i="6"/>
  <c r="E79" i="6"/>
  <c r="C79" i="6"/>
  <c r="B79" i="6"/>
  <c r="D79" i="6"/>
  <c r="F79" i="6" s="1"/>
  <c r="F243" i="6"/>
  <c r="C243" i="6"/>
  <c r="H243" i="6"/>
  <c r="E243" i="6"/>
  <c r="D243" i="6"/>
  <c r="G243" i="6" s="1"/>
  <c r="B243" i="6"/>
  <c r="E39" i="6"/>
  <c r="C39" i="6"/>
  <c r="B39" i="6"/>
  <c r="D39" i="6"/>
  <c r="U83" i="5"/>
  <c r="E237" i="6"/>
  <c r="C237" i="6"/>
  <c r="D237" i="6"/>
  <c r="F237" i="6" s="1"/>
  <c r="G237" i="6"/>
  <c r="B237" i="6"/>
  <c r="E161" i="6"/>
  <c r="C161" i="6"/>
  <c r="B161" i="6"/>
  <c r="E130" i="6"/>
  <c r="C130" i="6"/>
  <c r="D130" i="6"/>
  <c r="B130" i="6"/>
  <c r="H35" i="5"/>
  <c r="J35" i="5" s="1"/>
  <c r="E83" i="6"/>
  <c r="C83" i="6"/>
  <c r="B83" i="6"/>
  <c r="H28" i="5"/>
  <c r="I28" i="5" s="1"/>
  <c r="E78" i="6"/>
  <c r="D78" i="6"/>
  <c r="G78" i="6" s="1"/>
  <c r="B78" i="6"/>
  <c r="C78" i="6"/>
  <c r="E217" i="6"/>
  <c r="G217" i="6"/>
  <c r="D217" i="6"/>
  <c r="F217" i="6" s="1"/>
  <c r="C217" i="6"/>
  <c r="B217" i="6"/>
  <c r="C283" i="6"/>
  <c r="E283" i="6"/>
  <c r="B283" i="6"/>
  <c r="D283" i="6"/>
  <c r="E17" i="6"/>
  <c r="C17" i="6"/>
  <c r="B17" i="6"/>
  <c r="D17" i="6"/>
  <c r="F17" i="6" s="1"/>
  <c r="F235" i="6"/>
  <c r="C235" i="6"/>
  <c r="E235" i="6"/>
  <c r="D235" i="6"/>
  <c r="H235" i="6" s="1"/>
  <c r="B235" i="6"/>
  <c r="E253" i="6"/>
  <c r="C253" i="6"/>
  <c r="D253" i="6"/>
  <c r="G253" i="6" s="1"/>
  <c r="B253" i="6"/>
  <c r="W45" i="5"/>
  <c r="E69" i="6"/>
  <c r="C69" i="6"/>
  <c r="B69" i="6"/>
  <c r="D69" i="6"/>
  <c r="G69" i="6" s="1"/>
  <c r="H69" i="6" s="1"/>
  <c r="U41" i="5"/>
  <c r="E111" i="6"/>
  <c r="F111" i="6" s="1"/>
  <c r="D111" i="6"/>
  <c r="H111" i="6" s="1"/>
  <c r="C111" i="6"/>
  <c r="B111" i="6"/>
  <c r="E179" i="6"/>
  <c r="C179" i="6"/>
  <c r="D179" i="6"/>
  <c r="F179" i="6" s="1"/>
  <c r="B179" i="6"/>
  <c r="K44" i="5"/>
  <c r="E46" i="6"/>
  <c r="D46" i="6"/>
  <c r="B46" i="6"/>
  <c r="C46" i="6"/>
  <c r="L42" i="5"/>
  <c r="M42" i="5" s="1"/>
  <c r="X42" i="5" s="1"/>
  <c r="E115" i="6"/>
  <c r="C115" i="6"/>
  <c r="D115" i="6"/>
  <c r="B115" i="6"/>
  <c r="D246" i="6"/>
  <c r="H246" i="6" s="1"/>
  <c r="E246" i="6"/>
  <c r="B246" i="6"/>
  <c r="C246" i="6"/>
  <c r="B224" i="6"/>
  <c r="E224" i="6"/>
  <c r="D224" i="6"/>
  <c r="C224" i="6"/>
  <c r="E149" i="6"/>
  <c r="C149" i="6"/>
  <c r="B149" i="6"/>
  <c r="U11" i="5"/>
  <c r="E98" i="6"/>
  <c r="D98" i="6"/>
  <c r="B98" i="6"/>
  <c r="C98" i="6"/>
  <c r="G98" i="6"/>
  <c r="F98" i="6"/>
  <c r="W46" i="5"/>
  <c r="K46" i="5"/>
  <c r="S61" i="5"/>
  <c r="D173" i="6" s="1"/>
  <c r="T61" i="5"/>
  <c r="U61" i="5" s="1"/>
  <c r="E172" i="6"/>
  <c r="C172" i="6"/>
  <c r="D172" i="6"/>
  <c r="H172" i="6" s="1"/>
  <c r="B172" i="6"/>
  <c r="E146" i="6"/>
  <c r="C146" i="6"/>
  <c r="D146" i="6"/>
  <c r="B146" i="6"/>
  <c r="E66" i="6"/>
  <c r="D66" i="6"/>
  <c r="G66" i="6" s="1"/>
  <c r="B66" i="6"/>
  <c r="C66" i="6"/>
  <c r="E65" i="6"/>
  <c r="C65" i="6"/>
  <c r="B65" i="6"/>
  <c r="B298" i="6"/>
  <c r="D298" i="6"/>
  <c r="H298" i="6"/>
  <c r="E298" i="6"/>
  <c r="C298" i="6"/>
  <c r="E183" i="6"/>
  <c r="C183" i="6"/>
  <c r="B183" i="6"/>
  <c r="D183" i="6"/>
  <c r="F183" i="6" s="1"/>
  <c r="E160" i="6"/>
  <c r="C160" i="6"/>
  <c r="D160" i="6"/>
  <c r="H160" i="6" s="1"/>
  <c r="B160" i="6"/>
  <c r="E81" i="6"/>
  <c r="C81" i="6"/>
  <c r="B81" i="6"/>
  <c r="D81" i="6"/>
  <c r="F81" i="6" s="1"/>
  <c r="E61" i="6"/>
  <c r="C61" i="6"/>
  <c r="D61" i="6"/>
  <c r="B61" i="6"/>
  <c r="D238" i="6"/>
  <c r="H238" i="6" s="1"/>
  <c r="B238" i="6"/>
  <c r="E238" i="6"/>
  <c r="C238" i="6"/>
  <c r="E15" i="6"/>
  <c r="D15" i="6"/>
  <c r="C15" i="6"/>
  <c r="B15" i="6"/>
  <c r="E162" i="6"/>
  <c r="C162" i="6"/>
  <c r="D162" i="6"/>
  <c r="H162" i="6" s="1"/>
  <c r="B162" i="6"/>
  <c r="J12" i="5"/>
  <c r="D228" i="6"/>
  <c r="H228" i="6" s="1"/>
  <c r="B228" i="6"/>
  <c r="C228" i="6"/>
  <c r="E228" i="6"/>
  <c r="S45" i="5"/>
  <c r="U45" i="5" s="1"/>
  <c r="E71" i="6"/>
  <c r="C71" i="6"/>
  <c r="B71" i="6"/>
  <c r="D71" i="6"/>
  <c r="H71" i="6" s="1"/>
  <c r="G71" i="6"/>
  <c r="S101" i="5"/>
  <c r="C291" i="6"/>
  <c r="B291" i="6"/>
  <c r="E291" i="6"/>
  <c r="D291" i="6"/>
  <c r="F291" i="6" s="1"/>
  <c r="H291" i="6"/>
  <c r="K41" i="5"/>
  <c r="L41" i="5" s="1"/>
  <c r="M41" i="5" s="1"/>
  <c r="X41" i="5" s="1"/>
  <c r="T15" i="5"/>
  <c r="U15" i="5" s="1"/>
  <c r="E54" i="6"/>
  <c r="B54" i="6"/>
  <c r="D54" i="6"/>
  <c r="F54" i="6" s="1"/>
  <c r="C54" i="6"/>
  <c r="E85" i="6"/>
  <c r="F85" i="6" s="1"/>
  <c r="C85" i="6"/>
  <c r="B85" i="6"/>
  <c r="D85" i="6"/>
  <c r="B274" i="6"/>
  <c r="D274" i="6"/>
  <c r="H274" i="6" s="1"/>
  <c r="E274" i="6"/>
  <c r="C274" i="6"/>
  <c r="H79" i="5"/>
  <c r="L79" i="5" s="1"/>
  <c r="M79" i="5" s="1"/>
  <c r="X79" i="5" s="1"/>
  <c r="C227" i="6"/>
  <c r="B227" i="6"/>
  <c r="E227" i="6"/>
  <c r="D227" i="6"/>
  <c r="F227" i="6" s="1"/>
  <c r="L71" i="5"/>
  <c r="M71" i="5" s="1"/>
  <c r="X71" i="5" s="1"/>
  <c r="B202" i="6"/>
  <c r="D202" i="6"/>
  <c r="H202" i="6" s="1"/>
  <c r="E202" i="6"/>
  <c r="C202" i="6"/>
  <c r="U63" i="5"/>
  <c r="H63" i="5"/>
  <c r="L63" i="5" s="1"/>
  <c r="M63" i="5" s="1"/>
  <c r="X63" i="5" s="1"/>
  <c r="L44" i="5"/>
  <c r="M44" i="5" s="1"/>
  <c r="X44" i="5" s="1"/>
  <c r="E121" i="6"/>
  <c r="C121" i="6"/>
  <c r="D121" i="6"/>
  <c r="G121" i="6" s="1"/>
  <c r="H121" i="6" s="1"/>
  <c r="B121" i="6"/>
  <c r="E8" i="6"/>
  <c r="B8" i="6"/>
  <c r="C8" i="6"/>
  <c r="E148" i="6"/>
  <c r="C148" i="6"/>
  <c r="B148" i="6"/>
  <c r="D148" i="6"/>
  <c r="F148" i="6" s="1"/>
  <c r="E119" i="6"/>
  <c r="C119" i="6"/>
  <c r="F119" i="6"/>
  <c r="B119" i="6"/>
  <c r="D119" i="6"/>
  <c r="E221" i="6"/>
  <c r="C221" i="6"/>
  <c r="D221" i="6"/>
  <c r="F221" i="6" s="1"/>
  <c r="B221" i="6"/>
  <c r="E145" i="6"/>
  <c r="C145" i="6"/>
  <c r="D145" i="6"/>
  <c r="F145" i="6" s="1"/>
  <c r="B145" i="6"/>
  <c r="E89" i="6"/>
  <c r="C89" i="6"/>
  <c r="B89" i="6"/>
  <c r="D89" i="6"/>
  <c r="F89" i="6" s="1"/>
  <c r="L68" i="5"/>
  <c r="M68" i="5" s="1"/>
  <c r="X68" i="5" s="1"/>
  <c r="H68" i="5"/>
  <c r="E23" i="6"/>
  <c r="C23" i="6"/>
  <c r="D23" i="6"/>
  <c r="F23" i="6" s="1"/>
  <c r="B23" i="6"/>
  <c r="D196" i="6"/>
  <c r="F196" i="6" s="1"/>
  <c r="B196" i="6"/>
  <c r="C196" i="6"/>
  <c r="E196" i="6"/>
  <c r="E169" i="6"/>
  <c r="C169" i="6"/>
  <c r="D169" i="6"/>
  <c r="F169" i="6" s="1"/>
  <c r="H169" i="6"/>
  <c r="B169" i="6"/>
  <c r="U59" i="5"/>
  <c r="H49" i="5"/>
  <c r="J49" i="5" s="1"/>
  <c r="H103" i="5"/>
  <c r="F256" i="6"/>
  <c r="G256" i="6"/>
  <c r="B256" i="6"/>
  <c r="D256" i="6"/>
  <c r="H256" i="6" s="1"/>
  <c r="C256" i="6"/>
  <c r="E256" i="6"/>
  <c r="G232" i="6"/>
  <c r="H232" i="6"/>
  <c r="B232" i="6"/>
  <c r="E232" i="6"/>
  <c r="F232" i="6" s="1"/>
  <c r="D232" i="6"/>
  <c r="C232" i="6"/>
  <c r="E207" i="6"/>
  <c r="C207" i="6"/>
  <c r="D207" i="6"/>
  <c r="F207" i="6" s="1"/>
  <c r="B207" i="6"/>
  <c r="E185" i="6"/>
  <c r="C185" i="6"/>
  <c r="B185" i="6"/>
  <c r="D244" i="6"/>
  <c r="B244" i="6"/>
  <c r="C244" i="6"/>
  <c r="E244" i="6"/>
  <c r="G244" i="6"/>
  <c r="H244" i="6"/>
  <c r="E37" i="6"/>
  <c r="C37" i="6"/>
  <c r="D37" i="6"/>
  <c r="B37" i="6"/>
  <c r="E285" i="6"/>
  <c r="C285" i="6"/>
  <c r="B285" i="6"/>
  <c r="D285" i="6"/>
  <c r="H285" i="6" s="1"/>
  <c r="E125" i="6"/>
  <c r="C125" i="6"/>
  <c r="B125" i="6"/>
  <c r="E86" i="6"/>
  <c r="G86" i="6"/>
  <c r="B86" i="6"/>
  <c r="C86" i="6"/>
  <c r="D86" i="6"/>
  <c r="B8" i="10"/>
  <c r="B6" i="10"/>
  <c r="E7" i="6"/>
  <c r="D7" i="6"/>
  <c r="C7" i="6"/>
  <c r="B7" i="6"/>
  <c r="F7" i="6"/>
  <c r="E133" i="6"/>
  <c r="C133" i="6"/>
  <c r="D133" i="6"/>
  <c r="B133" i="6"/>
  <c r="U70" i="5"/>
  <c r="L62" i="5"/>
  <c r="M62" i="5" s="1"/>
  <c r="X62" i="5" s="1"/>
  <c r="S53" i="5"/>
  <c r="D149" i="6" s="1"/>
  <c r="G149" i="6" s="1"/>
  <c r="T53" i="5"/>
  <c r="E117" i="6"/>
  <c r="C117" i="6"/>
  <c r="D117" i="6"/>
  <c r="B117" i="6"/>
  <c r="G117" i="6"/>
  <c r="H117" i="6"/>
  <c r="F117" i="6"/>
  <c r="E91" i="6"/>
  <c r="C91" i="6"/>
  <c r="D91" i="6"/>
  <c r="B91" i="6"/>
  <c r="E96" i="6"/>
  <c r="B96" i="6"/>
  <c r="D96" i="6"/>
  <c r="F96" i="6" s="1"/>
  <c r="H96" i="6"/>
  <c r="C96" i="6"/>
  <c r="C219" i="6"/>
  <c r="E219" i="6"/>
  <c r="B219" i="6"/>
  <c r="D219" i="6"/>
  <c r="H219" i="6" s="1"/>
  <c r="E144" i="6"/>
  <c r="F144" i="6" s="1"/>
  <c r="C144" i="6"/>
  <c r="B144" i="6"/>
  <c r="D144" i="6"/>
  <c r="H144" i="6" s="1"/>
  <c r="T25" i="5"/>
  <c r="S25" i="5"/>
  <c r="D65" i="6" s="1"/>
  <c r="H38" i="5"/>
  <c r="J38" i="5" s="1"/>
  <c r="H66" i="5"/>
  <c r="L66" i="5" s="1"/>
  <c r="M66" i="5" s="1"/>
  <c r="X66" i="5" s="1"/>
  <c r="G188" i="6" s="1"/>
  <c r="E62" i="6"/>
  <c r="C62" i="6"/>
  <c r="B62" i="6"/>
  <c r="E24" i="6"/>
  <c r="B24" i="6"/>
  <c r="D24" i="6"/>
  <c r="C24" i="6"/>
  <c r="E26" i="6"/>
  <c r="F26" i="6" s="1"/>
  <c r="D26" i="6"/>
  <c r="B26" i="6"/>
  <c r="C26" i="6"/>
  <c r="S99" i="5"/>
  <c r="U99" i="5" s="1"/>
  <c r="D206" i="6"/>
  <c r="E206" i="6"/>
  <c r="C206" i="6"/>
  <c r="B206" i="6"/>
  <c r="E205" i="6"/>
  <c r="C205" i="6"/>
  <c r="D205" i="6"/>
  <c r="F205" i="6" s="1"/>
  <c r="G205" i="6"/>
  <c r="B205" i="6"/>
  <c r="E158" i="6"/>
  <c r="F158" i="6" s="1"/>
  <c r="C158" i="6"/>
  <c r="D158" i="6"/>
  <c r="B158" i="6"/>
  <c r="E124" i="6"/>
  <c r="C124" i="6"/>
  <c r="D124" i="6"/>
  <c r="G124" i="6" s="1"/>
  <c r="H124" i="6" s="1"/>
  <c r="B124" i="6"/>
  <c r="F124" i="6"/>
  <c r="E35" i="6"/>
  <c r="C35" i="6"/>
  <c r="D35" i="6"/>
  <c r="B35" i="6"/>
  <c r="C251" i="6"/>
  <c r="E251" i="6"/>
  <c r="B251" i="6"/>
  <c r="T71" i="5"/>
  <c r="U71" i="5" s="1"/>
  <c r="E59" i="6"/>
  <c r="C59" i="6"/>
  <c r="B59" i="6"/>
  <c r="E132" i="6"/>
  <c r="C132" i="6"/>
  <c r="B132" i="6"/>
  <c r="D132" i="6"/>
  <c r="F132" i="6" s="1"/>
  <c r="L11" i="5"/>
  <c r="M11" i="5" s="1"/>
  <c r="X11" i="5" s="1"/>
  <c r="D276" i="6"/>
  <c r="B276" i="6"/>
  <c r="E276" i="6"/>
  <c r="C276" i="6"/>
  <c r="L36" i="5"/>
  <c r="M36" i="5" s="1"/>
  <c r="X36" i="5" s="1"/>
  <c r="E97" i="6"/>
  <c r="F97" i="6" s="1"/>
  <c r="C97" i="6"/>
  <c r="D97" i="6"/>
  <c r="B97" i="6"/>
  <c r="E126" i="6"/>
  <c r="C126" i="6"/>
  <c r="D126" i="6"/>
  <c r="F126" i="6" s="1"/>
  <c r="B126" i="6"/>
  <c r="L61" i="5"/>
  <c r="M61" i="5" s="1"/>
  <c r="X61" i="5" s="1"/>
  <c r="E171" i="6"/>
  <c r="C171" i="6"/>
  <c r="D171" i="6"/>
  <c r="G171" i="6" s="1"/>
  <c r="B171" i="6"/>
  <c r="H52" i="5"/>
  <c r="J52" i="5" s="1"/>
  <c r="J26" i="5"/>
  <c r="V26" i="5"/>
  <c r="T92" i="5"/>
  <c r="U92" i="5" s="1"/>
  <c r="U68" i="5"/>
  <c r="J10" i="5"/>
  <c r="V10" i="5"/>
  <c r="U90" i="5"/>
  <c r="U66" i="5"/>
  <c r="J21" i="5"/>
  <c r="V21" i="5"/>
  <c r="E154" i="6"/>
  <c r="C154" i="6"/>
  <c r="D154" i="6"/>
  <c r="F154" i="6"/>
  <c r="B154" i="6"/>
  <c r="E11" i="6"/>
  <c r="C11" i="6"/>
  <c r="D11" i="6"/>
  <c r="F11" i="6" s="1"/>
  <c r="B11" i="6"/>
  <c r="U94" i="5"/>
  <c r="E247" i="6"/>
  <c r="C247" i="6"/>
  <c r="B247" i="6"/>
  <c r="D247" i="6"/>
  <c r="S70" i="5"/>
  <c r="D200" i="6" s="1"/>
  <c r="V11" i="5"/>
  <c r="U96" i="5"/>
  <c r="L46" i="5"/>
  <c r="M46" i="5" s="1"/>
  <c r="X46" i="5" s="1"/>
  <c r="E128" i="6"/>
  <c r="C128" i="6"/>
  <c r="D128" i="6"/>
  <c r="B128" i="6"/>
  <c r="E295" i="6"/>
  <c r="C295" i="6"/>
  <c r="D295" i="6"/>
  <c r="F295" i="6" s="1"/>
  <c r="B295" i="6"/>
  <c r="E64" i="6"/>
  <c r="B64" i="6"/>
  <c r="D64" i="6"/>
  <c r="C64" i="6"/>
  <c r="V25" i="5"/>
  <c r="J25" i="5"/>
  <c r="H92" i="5"/>
  <c r="L92" i="5"/>
  <c r="M92" i="5" s="1"/>
  <c r="X92" i="5" s="1"/>
  <c r="L84" i="5"/>
  <c r="M84" i="5" s="1"/>
  <c r="X84" i="5" s="1"/>
  <c r="H90" i="5"/>
  <c r="L90" i="5" s="1"/>
  <c r="M90" i="5" s="1"/>
  <c r="X90" i="5" s="1"/>
  <c r="H74" i="5"/>
  <c r="L74" i="5" s="1"/>
  <c r="M74" i="5" s="1"/>
  <c r="X74" i="5" s="1"/>
  <c r="E209" i="6"/>
  <c r="D209" i="6"/>
  <c r="F209" i="6" s="1"/>
  <c r="C209" i="6"/>
  <c r="B209" i="6"/>
  <c r="E159" i="6"/>
  <c r="C159" i="6"/>
  <c r="D159" i="6"/>
  <c r="H159" i="6" s="1"/>
  <c r="B159" i="6"/>
  <c r="E28" i="6"/>
  <c r="D28" i="6"/>
  <c r="B28" i="6"/>
  <c r="F28" i="6"/>
  <c r="C28" i="6"/>
  <c r="E74" i="6"/>
  <c r="D74" i="6"/>
  <c r="B74" i="6"/>
  <c r="C74" i="6"/>
  <c r="F74" i="6"/>
  <c r="E50" i="6"/>
  <c r="D50" i="6"/>
  <c r="B50" i="6"/>
  <c r="C50" i="6"/>
  <c r="E48" i="6"/>
  <c r="B48" i="6"/>
  <c r="C48" i="6"/>
  <c r="D48" i="6"/>
  <c r="F48" i="6" s="1"/>
  <c r="H255" i="6"/>
  <c r="E255" i="6"/>
  <c r="F255" i="6" s="1"/>
  <c r="C255" i="6"/>
  <c r="B255" i="6"/>
  <c r="D255" i="6"/>
  <c r="G255" i="6" s="1"/>
  <c r="D208" i="6"/>
  <c r="G208" i="6" s="1"/>
  <c r="C208" i="6"/>
  <c r="B208" i="6"/>
  <c r="E208" i="6"/>
  <c r="E131" i="6"/>
  <c r="C131" i="6"/>
  <c r="D131" i="6"/>
  <c r="F131" i="6" s="1"/>
  <c r="B131" i="6"/>
  <c r="E94" i="6"/>
  <c r="F94" i="6"/>
  <c r="C94" i="6"/>
  <c r="B94" i="6"/>
  <c r="D94" i="6"/>
  <c r="E93" i="6"/>
  <c r="C93" i="6"/>
  <c r="D93" i="6"/>
  <c r="H93" i="6" s="1"/>
  <c r="B93" i="6"/>
  <c r="H20" i="5"/>
  <c r="I20" i="5" s="1"/>
  <c r="E49" i="6"/>
  <c r="C49" i="6"/>
  <c r="B49" i="6"/>
  <c r="D49" i="6"/>
  <c r="F49" i="6" s="1"/>
  <c r="E279" i="6"/>
  <c r="D279" i="6"/>
  <c r="F279" i="6" s="1"/>
  <c r="B279" i="6"/>
  <c r="C279" i="6"/>
  <c r="E38" i="6"/>
  <c r="C38" i="6"/>
  <c r="B38" i="6"/>
  <c r="E40" i="6"/>
  <c r="B40" i="6"/>
  <c r="D40" i="6"/>
  <c r="F40" i="6" s="1"/>
  <c r="C40" i="6"/>
  <c r="E239" i="6"/>
  <c r="C239" i="6"/>
  <c r="D239" i="6"/>
  <c r="B239" i="6"/>
  <c r="D300" i="6"/>
  <c r="H300" i="6" s="1"/>
  <c r="B300" i="6"/>
  <c r="C300" i="6"/>
  <c r="E300" i="6"/>
  <c r="E163" i="6"/>
  <c r="C163" i="6"/>
  <c r="D163" i="6"/>
  <c r="H163" i="6" s="1"/>
  <c r="B163" i="6"/>
  <c r="E25" i="6"/>
  <c r="C25" i="6"/>
  <c r="B25" i="6"/>
  <c r="D25" i="6"/>
  <c r="D252" i="6"/>
  <c r="H252" i="6" s="1"/>
  <c r="B252" i="6"/>
  <c r="G252" i="6"/>
  <c r="C252" i="6"/>
  <c r="E252" i="6"/>
  <c r="E181" i="6"/>
  <c r="C181" i="6"/>
  <c r="D181" i="6"/>
  <c r="G181" i="6" s="1"/>
  <c r="B181" i="6"/>
  <c r="E157" i="6"/>
  <c r="F157" i="6" s="1"/>
  <c r="C157" i="6"/>
  <c r="D157" i="6"/>
  <c r="H157" i="6"/>
  <c r="G157" i="6"/>
  <c r="B157" i="6"/>
  <c r="E249" i="6"/>
  <c r="D249" i="6"/>
  <c r="F249" i="6" s="1"/>
  <c r="C249" i="6"/>
  <c r="B249" i="6"/>
  <c r="E257" i="6"/>
  <c r="C257" i="6"/>
  <c r="B257" i="6"/>
  <c r="D257" i="6"/>
  <c r="F233" i="6"/>
  <c r="C233" i="6"/>
  <c r="E233" i="6"/>
  <c r="D233" i="6"/>
  <c r="G233" i="6" s="1"/>
  <c r="H233" i="6" s="1"/>
  <c r="B233" i="6"/>
  <c r="E95" i="6"/>
  <c r="C95" i="6"/>
  <c r="D95" i="6"/>
  <c r="F95" i="6" s="1"/>
  <c r="B95" i="6"/>
  <c r="E82" i="6"/>
  <c r="D82" i="6"/>
  <c r="B82" i="6"/>
  <c r="C82" i="6"/>
  <c r="E80" i="6"/>
  <c r="B80" i="6"/>
  <c r="D80" i="6"/>
  <c r="C80" i="6"/>
  <c r="E245" i="6"/>
  <c r="C245" i="6"/>
  <c r="D245" i="6"/>
  <c r="B245" i="6"/>
  <c r="E281" i="6"/>
  <c r="D281" i="6"/>
  <c r="G281" i="6" s="1"/>
  <c r="B281" i="6"/>
  <c r="C281" i="6"/>
  <c r="E41" i="6"/>
  <c r="C41" i="6"/>
  <c r="B41" i="6"/>
  <c r="D41" i="6"/>
  <c r="F41" i="6" s="1"/>
  <c r="E301" i="6"/>
  <c r="C301" i="6"/>
  <c r="D301" i="6"/>
  <c r="G301" i="6"/>
  <c r="B301" i="6"/>
  <c r="D254" i="6"/>
  <c r="E254" i="6"/>
  <c r="B254" i="6"/>
  <c r="C254" i="6"/>
  <c r="E229" i="6"/>
  <c r="C229" i="6"/>
  <c r="D229" i="6"/>
  <c r="G229" i="6" s="1"/>
  <c r="B229" i="6"/>
  <c r="E180" i="6"/>
  <c r="F180" i="6" s="1"/>
  <c r="C180" i="6"/>
  <c r="D180" i="6"/>
  <c r="G180" i="6" s="1"/>
  <c r="B180" i="6"/>
  <c r="E156" i="6"/>
  <c r="C156" i="6"/>
  <c r="D156" i="6"/>
  <c r="G156" i="6" s="1"/>
  <c r="B156" i="6"/>
  <c r="D292" i="6"/>
  <c r="H292" i="6" s="1"/>
  <c r="B292" i="6"/>
  <c r="C292" i="6"/>
  <c r="E292" i="6"/>
  <c r="E55" i="6"/>
  <c r="C55" i="6"/>
  <c r="D55" i="6"/>
  <c r="B55" i="6"/>
  <c r="E84" i="6"/>
  <c r="D84" i="6"/>
  <c r="G84" i="6" s="1"/>
  <c r="F84" i="6"/>
  <c r="B84" i="6"/>
  <c r="C84" i="6"/>
  <c r="H84" i="6"/>
  <c r="C275" i="6"/>
  <c r="E275" i="6"/>
  <c r="D275" i="6"/>
  <c r="B275" i="6"/>
  <c r="C203" i="6"/>
  <c r="E203" i="6"/>
  <c r="D203" i="6"/>
  <c r="F203" i="6" s="1"/>
  <c r="B203" i="6"/>
  <c r="G203" i="6"/>
  <c r="H203" i="6" s="1"/>
  <c r="E178" i="6"/>
  <c r="C178" i="6"/>
  <c r="D178" i="6"/>
  <c r="G178" i="6" s="1"/>
  <c r="B178" i="6"/>
  <c r="S19" i="5"/>
  <c r="U19" i="5" s="1"/>
  <c r="E45" i="6"/>
  <c r="D45" i="6"/>
  <c r="F45" i="6" s="1"/>
  <c r="C45" i="6"/>
  <c r="B45" i="6"/>
  <c r="H7" i="5"/>
  <c r="I7" i="5" s="1"/>
  <c r="E21" i="6"/>
  <c r="D21" i="6"/>
  <c r="F21" i="6" s="1"/>
  <c r="B21" i="6"/>
  <c r="C21" i="6"/>
  <c r="E127" i="6"/>
  <c r="C127" i="6"/>
  <c r="D127" i="6"/>
  <c r="B127" i="6"/>
  <c r="U93" i="5"/>
  <c r="U77" i="5"/>
  <c r="E68" i="6"/>
  <c r="D68" i="6"/>
  <c r="B68" i="6"/>
  <c r="C68" i="6"/>
  <c r="U84" i="5"/>
  <c r="U51" i="5"/>
  <c r="U18" i="5"/>
  <c r="J14" i="5"/>
  <c r="V14" i="5"/>
  <c r="G30" i="6" s="1"/>
  <c r="H40" i="5"/>
  <c r="J40" i="5" s="1"/>
  <c r="E122" i="6"/>
  <c r="C122" i="6"/>
  <c r="D122" i="6"/>
  <c r="G122" i="6" s="1"/>
  <c r="H122" i="6" s="1"/>
  <c r="F122" i="6"/>
  <c r="B122" i="6"/>
  <c r="E114" i="6"/>
  <c r="C114" i="6"/>
  <c r="G114" i="6"/>
  <c r="D114" i="6"/>
  <c r="H114" i="6"/>
  <c r="B114" i="6"/>
  <c r="B8" i="2"/>
  <c r="F223" i="6"/>
  <c r="E223" i="6"/>
  <c r="D223" i="6"/>
  <c r="H223" i="6" s="1"/>
  <c r="C223" i="6"/>
  <c r="B223" i="6"/>
  <c r="D222" i="6"/>
  <c r="H222" i="6" s="1"/>
  <c r="E222" i="6"/>
  <c r="B222" i="6"/>
  <c r="C222" i="6"/>
  <c r="E200" i="6"/>
  <c r="C200" i="6"/>
  <c r="B200" i="6"/>
  <c r="E175" i="6"/>
  <c r="C175" i="6"/>
  <c r="D175" i="6"/>
  <c r="B175" i="6"/>
  <c r="D294" i="6"/>
  <c r="B294" i="6"/>
  <c r="E294" i="6"/>
  <c r="C294" i="6"/>
  <c r="L67" i="5"/>
  <c r="M67" i="5" s="1"/>
  <c r="X67" i="5" s="1"/>
  <c r="H50" i="5"/>
  <c r="J50" i="5" s="1"/>
  <c r="S21" i="5"/>
  <c r="D53" i="6" s="1"/>
  <c r="D304" i="6"/>
  <c r="F304" i="6" s="1"/>
  <c r="E304" i="6"/>
  <c r="C304" i="6"/>
  <c r="B304" i="6"/>
  <c r="T29" i="5"/>
  <c r="U29" i="5" s="1"/>
  <c r="E76" i="6"/>
  <c r="D76" i="6"/>
  <c r="F76" i="6" s="1"/>
  <c r="B76" i="6"/>
  <c r="C76" i="6"/>
  <c r="D212" i="6"/>
  <c r="B212" i="6"/>
  <c r="E212" i="6"/>
  <c r="C212" i="6"/>
  <c r="D188" i="6"/>
  <c r="B188" i="6"/>
  <c r="E188" i="6"/>
  <c r="C188" i="6"/>
  <c r="B290" i="6"/>
  <c r="E290" i="6"/>
  <c r="D290" i="6"/>
  <c r="C290" i="6"/>
  <c r="E106" i="6"/>
  <c r="D106" i="6"/>
  <c r="F106" i="6" s="1"/>
  <c r="B106" i="6"/>
  <c r="C106" i="6"/>
  <c r="B250" i="6"/>
  <c r="D250" i="6"/>
  <c r="C250" i="6"/>
  <c r="G250" i="6"/>
  <c r="E250" i="6"/>
  <c r="H250" i="6"/>
  <c r="B226" i="6"/>
  <c r="E226" i="6"/>
  <c r="D226" i="6"/>
  <c r="G226" i="6" s="1"/>
  <c r="C226" i="6"/>
  <c r="E10" i="6"/>
  <c r="D10" i="6"/>
  <c r="B10" i="6"/>
  <c r="C10" i="6"/>
  <c r="S6" i="5"/>
  <c r="G270" i="6"/>
  <c r="D270" i="6"/>
  <c r="F270" i="6" s="1"/>
  <c r="E270" i="6"/>
  <c r="C270" i="6"/>
  <c r="B270" i="6"/>
  <c r="H270" i="6"/>
  <c r="E92" i="6"/>
  <c r="D92" i="6"/>
  <c r="F92" i="6" s="1"/>
  <c r="B92" i="6"/>
  <c r="C92" i="6"/>
  <c r="L33" i="5"/>
  <c r="M33" i="5" s="1"/>
  <c r="X33" i="5" s="1"/>
  <c r="F192" i="6"/>
  <c r="G192" i="6"/>
  <c r="B192" i="6"/>
  <c r="C192" i="6"/>
  <c r="D192" i="6"/>
  <c r="H192" i="6" s="1"/>
  <c r="E192" i="6"/>
  <c r="S37" i="5"/>
  <c r="U37" i="5" s="1"/>
  <c r="E100" i="6"/>
  <c r="D100" i="6"/>
  <c r="F100" i="6" s="1"/>
  <c r="C100" i="6"/>
  <c r="B100" i="6"/>
  <c r="S38" i="5"/>
  <c r="D104" i="6" s="1"/>
  <c r="E261" i="6"/>
  <c r="C261" i="6"/>
  <c r="D261" i="6"/>
  <c r="H261" i="6" s="1"/>
  <c r="B261" i="6"/>
  <c r="T75" i="5"/>
  <c r="U75" i="5" s="1"/>
  <c r="S14" i="5"/>
  <c r="U14" i="5" s="1"/>
  <c r="E30" i="6"/>
  <c r="F30" i="6" s="1"/>
  <c r="D30" i="6"/>
  <c r="C30" i="6"/>
  <c r="B30" i="6"/>
  <c r="E108" i="6"/>
  <c r="D108" i="6"/>
  <c r="F108" i="6" s="1"/>
  <c r="C108" i="6"/>
  <c r="B108" i="6"/>
  <c r="T74" i="5"/>
  <c r="U74" i="5" s="1"/>
  <c r="D240" i="6"/>
  <c r="F240" i="6" s="1"/>
  <c r="B240" i="6"/>
  <c r="E240" i="6"/>
  <c r="C240" i="6"/>
  <c r="E170" i="6"/>
  <c r="C170" i="6"/>
  <c r="D170" i="6"/>
  <c r="F170" i="6" s="1"/>
  <c r="B170" i="6"/>
  <c r="D214" i="6"/>
  <c r="E214" i="6"/>
  <c r="C214" i="6"/>
  <c r="B214" i="6"/>
  <c r="E32" i="6"/>
  <c r="B32" i="6"/>
  <c r="C32" i="6"/>
  <c r="B258" i="6"/>
  <c r="D258" i="6"/>
  <c r="F258" i="6" s="1"/>
  <c r="C258" i="6"/>
  <c r="E258" i="6"/>
  <c r="E52" i="6"/>
  <c r="D52" i="6"/>
  <c r="F52" i="6"/>
  <c r="B52" i="6"/>
  <c r="C52" i="6"/>
  <c r="E303" i="6"/>
  <c r="C303" i="6"/>
  <c r="B303" i="6"/>
  <c r="D303" i="6"/>
  <c r="H303" i="6" s="1"/>
  <c r="H225" i="6"/>
  <c r="E225" i="6"/>
  <c r="F225" i="6" s="1"/>
  <c r="C225" i="6"/>
  <c r="D225" i="6"/>
  <c r="G225" i="6" s="1"/>
  <c r="B225" i="6"/>
  <c r="C201" i="6"/>
  <c r="E201" i="6"/>
  <c r="D201" i="6"/>
  <c r="G201" i="6" s="1"/>
  <c r="B201" i="6"/>
  <c r="E177" i="6"/>
  <c r="C177" i="6"/>
  <c r="D177" i="6"/>
  <c r="F177" i="6" s="1"/>
  <c r="B177" i="6"/>
  <c r="E155" i="6"/>
  <c r="C155" i="6"/>
  <c r="B155" i="6"/>
  <c r="D155" i="6"/>
  <c r="F155" i="6" s="1"/>
  <c r="E153" i="6"/>
  <c r="C153" i="6"/>
  <c r="D153" i="6"/>
  <c r="H153" i="6" s="1"/>
  <c r="F153" i="6"/>
  <c r="B153" i="6"/>
  <c r="E120" i="6"/>
  <c r="F120" i="6" s="1"/>
  <c r="C120" i="6"/>
  <c r="D120" i="6"/>
  <c r="G120" i="6" s="1"/>
  <c r="H120" i="6"/>
  <c r="B120" i="6"/>
  <c r="E47" i="6"/>
  <c r="C47" i="6"/>
  <c r="B47" i="6"/>
  <c r="D47" i="6"/>
  <c r="E116" i="6"/>
  <c r="C116" i="6"/>
  <c r="B116" i="6"/>
  <c r="E58" i="6"/>
  <c r="F58" i="6" s="1"/>
  <c r="D58" i="6"/>
  <c r="B58" i="6"/>
  <c r="C58" i="6"/>
  <c r="E57" i="6"/>
  <c r="C57" i="6"/>
  <c r="B57" i="6"/>
  <c r="D57" i="6"/>
  <c r="E9" i="6"/>
  <c r="F9" i="6" s="1"/>
  <c r="C9" i="6"/>
  <c r="B9" i="6"/>
  <c r="D9" i="6"/>
  <c r="T6" i="5"/>
  <c r="C24" i="3" s="1"/>
  <c r="T48" i="5"/>
  <c r="U48" i="5" s="1"/>
  <c r="D248" i="6"/>
  <c r="B248" i="6"/>
  <c r="C248" i="6"/>
  <c r="E248" i="6"/>
  <c r="T62" i="5"/>
  <c r="U62" i="5" s="1"/>
  <c r="E22" i="6"/>
  <c r="B22" i="6"/>
  <c r="D22" i="6"/>
  <c r="G22" i="6" s="1"/>
  <c r="H22" i="6" s="1"/>
  <c r="C22" i="6"/>
  <c r="E277" i="6"/>
  <c r="C277" i="6"/>
  <c r="D277" i="6"/>
  <c r="G277" i="6" s="1"/>
  <c r="B277" i="6"/>
  <c r="D268" i="6"/>
  <c r="H268" i="6" s="1"/>
  <c r="B268" i="6"/>
  <c r="C268" i="6"/>
  <c r="E268" i="6"/>
  <c r="E197" i="6"/>
  <c r="C197" i="6"/>
  <c r="D197" i="6"/>
  <c r="G197" i="6" s="1"/>
  <c r="B197" i="6"/>
  <c r="B266" i="6"/>
  <c r="D266" i="6"/>
  <c r="E266" i="6"/>
  <c r="C266" i="6"/>
  <c r="T51" i="5"/>
  <c r="E44" i="6"/>
  <c r="C44" i="6"/>
  <c r="B44" i="6"/>
  <c r="K54" i="5"/>
  <c r="L54" i="5" s="1"/>
  <c r="M54" i="5" s="1"/>
  <c r="X54" i="5" s="1"/>
  <c r="H75" i="5"/>
  <c r="L75" i="5" s="1"/>
  <c r="M75" i="5" s="1"/>
  <c r="X75" i="5" s="1"/>
  <c r="G215" i="6" s="1"/>
  <c r="T67" i="5"/>
  <c r="U67" i="5" s="1"/>
  <c r="E191" i="6"/>
  <c r="C191" i="6"/>
  <c r="B191" i="6"/>
  <c r="D191" i="6"/>
  <c r="G191" i="6" s="1"/>
  <c r="H191" i="6" s="1"/>
  <c r="E138" i="6"/>
  <c r="F138" i="6" s="1"/>
  <c r="C138" i="6"/>
  <c r="D138" i="6"/>
  <c r="G138" i="6" s="1"/>
  <c r="B138" i="6"/>
  <c r="S10" i="5"/>
  <c r="U10" i="5" s="1"/>
  <c r="S40" i="5"/>
  <c r="D110" i="6" s="1"/>
  <c r="D260" i="6"/>
  <c r="B260" i="6"/>
  <c r="C260" i="6"/>
  <c r="E260" i="6"/>
  <c r="B288" i="6"/>
  <c r="E288" i="6"/>
  <c r="D288" i="6"/>
  <c r="F288" i="6" s="1"/>
  <c r="C288" i="6"/>
  <c r="D184" i="6"/>
  <c r="F184" i="6" s="1"/>
  <c r="B184" i="6"/>
  <c r="E184" i="6"/>
  <c r="C184" i="6"/>
  <c r="E29" i="6"/>
  <c r="C29" i="6"/>
  <c r="B29" i="6"/>
  <c r="D29" i="6"/>
  <c r="E287" i="6"/>
  <c r="C287" i="6"/>
  <c r="B287" i="6"/>
  <c r="E123" i="6"/>
  <c r="C123" i="6"/>
  <c r="D123" i="6"/>
  <c r="G123" i="6" s="1"/>
  <c r="B123" i="6"/>
  <c r="E293" i="6"/>
  <c r="C293" i="6"/>
  <c r="B293" i="6"/>
  <c r="D293" i="6"/>
  <c r="E34" i="6"/>
  <c r="D34" i="6"/>
  <c r="B34" i="6"/>
  <c r="C34" i="6"/>
  <c r="E56" i="6"/>
  <c r="B56" i="6"/>
  <c r="C56" i="6"/>
  <c r="D56" i="6"/>
  <c r="F56" i="6" s="1"/>
  <c r="C7" i="3"/>
  <c r="C18" i="3"/>
  <c r="C16" i="3"/>
  <c r="C17" i="3"/>
  <c r="C8" i="3"/>
  <c r="C23" i="3"/>
  <c r="B17" i="3"/>
  <c r="C22" i="3"/>
  <c r="B16" i="3"/>
  <c r="E6" i="6"/>
  <c r="F6" i="6" s="1"/>
  <c r="D6" i="6"/>
  <c r="B6" i="6"/>
  <c r="C6" i="6"/>
  <c r="D272" i="6"/>
  <c r="E272" i="6"/>
  <c r="C272" i="6"/>
  <c r="B272" i="6"/>
  <c r="D198" i="6"/>
  <c r="G198" i="6" s="1"/>
  <c r="B198" i="6"/>
  <c r="E198" i="6"/>
  <c r="C198" i="6"/>
  <c r="H198" i="6"/>
  <c r="F199" i="6"/>
  <c r="H199" i="6"/>
  <c r="E199" i="6"/>
  <c r="C199" i="6"/>
  <c r="D199" i="6"/>
  <c r="G199" i="6" s="1"/>
  <c r="B199" i="6"/>
  <c r="E90" i="6"/>
  <c r="D90" i="6"/>
  <c r="G90" i="6" s="1"/>
  <c r="B90" i="6"/>
  <c r="C90" i="6"/>
  <c r="D220" i="6"/>
  <c r="H220" i="6" s="1"/>
  <c r="B220" i="6"/>
  <c r="E220" i="6"/>
  <c r="C220" i="6"/>
  <c r="E296" i="6"/>
  <c r="D296" i="6"/>
  <c r="F296" i="6" s="1"/>
  <c r="B296" i="6"/>
  <c r="C296" i="6"/>
  <c r="E88" i="6"/>
  <c r="B88" i="6"/>
  <c r="D88" i="6"/>
  <c r="C88" i="6"/>
  <c r="D264" i="6"/>
  <c r="F264" i="6" s="1"/>
  <c r="C264" i="6"/>
  <c r="B264" i="6"/>
  <c r="E264" i="6"/>
  <c r="B194" i="6"/>
  <c r="E194" i="6"/>
  <c r="D194" i="6"/>
  <c r="F194" i="6" s="1"/>
  <c r="C194" i="6"/>
  <c r="H37" i="5"/>
  <c r="J37" i="5" s="1"/>
  <c r="E42" i="6"/>
  <c r="F42" i="6" s="1"/>
  <c r="D42" i="6"/>
  <c r="B42" i="6"/>
  <c r="C42" i="6"/>
  <c r="E102" i="6"/>
  <c r="D102" i="6"/>
  <c r="G102" i="6" s="1"/>
  <c r="C102" i="6"/>
  <c r="B102" i="6"/>
  <c r="G262" i="6"/>
  <c r="D262" i="6"/>
  <c r="F262" i="6" s="1"/>
  <c r="B262" i="6"/>
  <c r="E262" i="6"/>
  <c r="C262" i="6"/>
  <c r="H262" i="6"/>
  <c r="D190" i="6"/>
  <c r="H190" i="6" s="1"/>
  <c r="E190" i="6"/>
  <c r="B190" i="6"/>
  <c r="C190" i="6"/>
  <c r="E18" i="6"/>
  <c r="D18" i="6"/>
  <c r="F18" i="6" s="1"/>
  <c r="B18" i="6"/>
  <c r="C18" i="6"/>
  <c r="E110" i="6"/>
  <c r="B110" i="6"/>
  <c r="C110" i="6"/>
  <c r="E135" i="6"/>
  <c r="C135" i="6"/>
  <c r="D135" i="6"/>
  <c r="H135" i="6" s="1"/>
  <c r="B135" i="6"/>
  <c r="E12" i="6"/>
  <c r="D12" i="6"/>
  <c r="F12" i="6"/>
  <c r="B12" i="6"/>
  <c r="C12" i="6"/>
  <c r="E142" i="6"/>
  <c r="F142" i="6" s="1"/>
  <c r="C142" i="6"/>
  <c r="D142" i="6"/>
  <c r="B142" i="6"/>
  <c r="E104" i="6"/>
  <c r="B104" i="6"/>
  <c r="C104" i="6"/>
  <c r="E150" i="6"/>
  <c r="F150" i="6" s="1"/>
  <c r="C150" i="6"/>
  <c r="D150" i="6"/>
  <c r="G150" i="6" s="1"/>
  <c r="B150" i="6"/>
  <c r="E151" i="6"/>
  <c r="C151" i="6"/>
  <c r="B151" i="6"/>
  <c r="D151" i="6"/>
  <c r="G151" i="6" s="1"/>
  <c r="H151" i="6" s="1"/>
  <c r="T91" i="5"/>
  <c r="U91" i="5" s="1"/>
  <c r="E213" i="6"/>
  <c r="C213" i="6"/>
  <c r="D213" i="6"/>
  <c r="H213" i="6"/>
  <c r="G213" i="6"/>
  <c r="B213" i="6"/>
  <c r="E167" i="6"/>
  <c r="C167" i="6"/>
  <c r="D167" i="6"/>
  <c r="B167" i="6"/>
  <c r="E139" i="6"/>
  <c r="C139" i="6"/>
  <c r="D139" i="6"/>
  <c r="F139" i="6" s="1"/>
  <c r="B139" i="6"/>
  <c r="E75" i="6"/>
  <c r="C75" i="6"/>
  <c r="D75" i="6"/>
  <c r="B75" i="6"/>
  <c r="E20" i="6"/>
  <c r="D20" i="6"/>
  <c r="F20" i="6"/>
  <c r="B20" i="6"/>
  <c r="C20" i="6"/>
  <c r="B210" i="6"/>
  <c r="D210" i="6"/>
  <c r="H210" i="6"/>
  <c r="G210" i="6"/>
  <c r="E210" i="6"/>
  <c r="C210" i="6"/>
  <c r="B186" i="6"/>
  <c r="D186" i="6"/>
  <c r="H186" i="6" s="1"/>
  <c r="C186" i="6"/>
  <c r="E186" i="6"/>
  <c r="F186" i="6" s="1"/>
  <c r="E137" i="6"/>
  <c r="C137" i="6"/>
  <c r="D137" i="6"/>
  <c r="B137" i="6"/>
  <c r="E53" i="6"/>
  <c r="B53" i="6"/>
  <c r="C53" i="6"/>
  <c r="E107" i="6"/>
  <c r="C107" i="6"/>
  <c r="D107" i="6"/>
  <c r="F107" i="6" s="1"/>
  <c r="B107" i="6"/>
  <c r="E14" i="6"/>
  <c r="D14" i="6"/>
  <c r="B14" i="6"/>
  <c r="C14" i="6"/>
  <c r="E67" i="6"/>
  <c r="C67" i="6"/>
  <c r="D67" i="6"/>
  <c r="B67" i="6"/>
  <c r="E63" i="6"/>
  <c r="C63" i="6"/>
  <c r="B63" i="6"/>
  <c r="D63" i="6"/>
  <c r="E87" i="6"/>
  <c r="C87" i="6"/>
  <c r="D87" i="6"/>
  <c r="H87" i="6" s="1"/>
  <c r="B87" i="6"/>
  <c r="C265" i="6"/>
  <c r="E265" i="6"/>
  <c r="D265" i="6"/>
  <c r="H265" i="6" s="1"/>
  <c r="B265" i="6"/>
  <c r="G265" i="6"/>
  <c r="F241" i="6"/>
  <c r="E241" i="6"/>
  <c r="B241" i="6"/>
  <c r="D241" i="6"/>
  <c r="G241" i="6" s="1"/>
  <c r="C241" i="6"/>
  <c r="H193" i="6"/>
  <c r="E193" i="6"/>
  <c r="F193" i="6" s="1"/>
  <c r="C193" i="6"/>
  <c r="D193" i="6"/>
  <c r="B193" i="6"/>
  <c r="G193" i="6"/>
  <c r="E168" i="6"/>
  <c r="C168" i="6"/>
  <c r="G168" i="6"/>
  <c r="F168" i="6"/>
  <c r="D168" i="6"/>
  <c r="B168" i="6"/>
  <c r="H168" i="6"/>
  <c r="E143" i="6"/>
  <c r="C143" i="6"/>
  <c r="D143" i="6"/>
  <c r="F143" i="6" s="1"/>
  <c r="B143" i="6"/>
  <c r="E141" i="6"/>
  <c r="C141" i="6"/>
  <c r="D141" i="6"/>
  <c r="H141" i="6" s="1"/>
  <c r="F141" i="6"/>
  <c r="B141" i="6"/>
  <c r="E99" i="6"/>
  <c r="C99" i="6"/>
  <c r="D99" i="6"/>
  <c r="G99" i="6"/>
  <c r="B99" i="6"/>
  <c r="E101" i="6"/>
  <c r="C101" i="6"/>
  <c r="B101" i="6"/>
  <c r="E43" i="6"/>
  <c r="C43" i="6"/>
  <c r="D43" i="6"/>
  <c r="B43" i="6"/>
  <c r="E103" i="6"/>
  <c r="D103" i="6"/>
  <c r="C103" i="6"/>
  <c r="B103" i="6"/>
  <c r="E152" i="6"/>
  <c r="C152" i="6"/>
  <c r="D152" i="6"/>
  <c r="B152" i="6"/>
  <c r="E263" i="6"/>
  <c r="C263" i="6"/>
  <c r="D263" i="6"/>
  <c r="B263" i="6"/>
  <c r="E215" i="6"/>
  <c r="D215" i="6"/>
  <c r="F215" i="6" s="1"/>
  <c r="C215" i="6"/>
  <c r="B215" i="6"/>
  <c r="E189" i="6"/>
  <c r="C189" i="6"/>
  <c r="D189" i="6"/>
  <c r="G189" i="6" s="1"/>
  <c r="B189" i="6"/>
  <c r="E166" i="6"/>
  <c r="C166" i="6"/>
  <c r="D166" i="6"/>
  <c r="G166" i="6" s="1"/>
  <c r="H166" i="6"/>
  <c r="F166" i="6"/>
  <c r="B166" i="6"/>
  <c r="E165" i="6"/>
  <c r="F165" i="6" s="1"/>
  <c r="C165" i="6"/>
  <c r="D165" i="6"/>
  <c r="B165" i="6"/>
  <c r="H165" i="6"/>
  <c r="G165" i="6"/>
  <c r="E140" i="6"/>
  <c r="F140" i="6" s="1"/>
  <c r="C140" i="6"/>
  <c r="D140" i="6"/>
  <c r="B140" i="6"/>
  <c r="E77" i="6"/>
  <c r="C77" i="6"/>
  <c r="B77" i="6"/>
  <c r="D77" i="6"/>
  <c r="F77" i="6" s="1"/>
  <c r="E19" i="6"/>
  <c r="F19" i="6"/>
  <c r="C19" i="6"/>
  <c r="D19" i="6"/>
  <c r="B19" i="6"/>
  <c r="E31" i="6"/>
  <c r="C31" i="6"/>
  <c r="B31" i="6"/>
  <c r="D31" i="6"/>
  <c r="E109" i="6"/>
  <c r="D109" i="6"/>
  <c r="F109" i="6" s="1"/>
  <c r="C109" i="6"/>
  <c r="B109" i="6"/>
  <c r="C259" i="6"/>
  <c r="B259" i="6"/>
  <c r="H259" i="6"/>
  <c r="G259" i="6"/>
  <c r="E259" i="6"/>
  <c r="D259" i="6"/>
  <c r="C211" i="6"/>
  <c r="E211" i="6"/>
  <c r="D211" i="6"/>
  <c r="F211" i="6" s="1"/>
  <c r="B211" i="6"/>
  <c r="C187" i="6"/>
  <c r="E187" i="6"/>
  <c r="B187" i="6"/>
  <c r="D187" i="6"/>
  <c r="H187" i="6"/>
  <c r="G187" i="6"/>
  <c r="E136" i="6"/>
  <c r="C136" i="6"/>
  <c r="D136" i="6"/>
  <c r="B136" i="6"/>
  <c r="E289" i="6"/>
  <c r="C289" i="6"/>
  <c r="D289" i="6"/>
  <c r="G289" i="6" s="1"/>
  <c r="B289" i="6"/>
  <c r="E51" i="6"/>
  <c r="F51" i="6"/>
  <c r="C51" i="6"/>
  <c r="B51" i="6"/>
  <c r="D51" i="6"/>
  <c r="E105" i="6"/>
  <c r="C105" i="6"/>
  <c r="D105" i="6"/>
  <c r="G105" i="6" s="1"/>
  <c r="B105" i="6"/>
  <c r="T105" i="5"/>
  <c r="U105" i="5" s="1"/>
  <c r="C305" i="6"/>
  <c r="B305" i="6"/>
  <c r="E305" i="6"/>
  <c r="D305" i="6"/>
  <c r="G305" i="6" s="1"/>
  <c r="H305" i="6" s="1"/>
  <c r="E13" i="6"/>
  <c r="D13" i="6"/>
  <c r="F13" i="6" s="1"/>
  <c r="B13" i="6"/>
  <c r="C13" i="6"/>
  <c r="G251" i="6" l="1"/>
  <c r="H251" i="6" s="1"/>
  <c r="F251" i="6"/>
  <c r="G116" i="6"/>
  <c r="F116" i="6"/>
  <c r="H116" i="6"/>
  <c r="U31" i="5"/>
  <c r="H253" i="6"/>
  <c r="G267" i="6"/>
  <c r="G164" i="6"/>
  <c r="H164" i="6" s="1"/>
  <c r="F62" i="6"/>
  <c r="F105" i="6"/>
  <c r="H123" i="6"/>
  <c r="H248" i="6"/>
  <c r="U65" i="5"/>
  <c r="U42" i="5"/>
  <c r="H105" i="6"/>
  <c r="G263" i="6"/>
  <c r="H263" i="6" s="1"/>
  <c r="F248" i="6"/>
  <c r="G222" i="6"/>
  <c r="G21" i="6"/>
  <c r="H21" i="6" s="1"/>
  <c r="F80" i="6"/>
  <c r="G163" i="6"/>
  <c r="G96" i="6"/>
  <c r="G227" i="6"/>
  <c r="H227" i="6" s="1"/>
  <c r="F263" i="6"/>
  <c r="F137" i="6"/>
  <c r="F294" i="6"/>
  <c r="G254" i="6"/>
  <c r="H254" i="6" s="1"/>
  <c r="H257" i="6"/>
  <c r="G295" i="6"/>
  <c r="F171" i="6"/>
  <c r="H132" i="6"/>
  <c r="G291" i="6"/>
  <c r="F228" i="6"/>
  <c r="G15" i="6"/>
  <c r="H15" i="6" s="1"/>
  <c r="F238" i="6"/>
  <c r="G183" i="6"/>
  <c r="F298" i="6"/>
  <c r="G147" i="6"/>
  <c r="F284" i="6"/>
  <c r="U40" i="5"/>
  <c r="G248" i="6"/>
  <c r="F300" i="6"/>
  <c r="U53" i="5"/>
  <c r="H102" i="6"/>
  <c r="H296" i="6"/>
  <c r="F266" i="6"/>
  <c r="F214" i="6"/>
  <c r="H304" i="6"/>
  <c r="F206" i="6"/>
  <c r="F136" i="6"/>
  <c r="G296" i="6"/>
  <c r="F272" i="6"/>
  <c r="G108" i="6"/>
  <c r="G304" i="6"/>
  <c r="F222" i="6"/>
  <c r="H127" i="6"/>
  <c r="F103" i="6"/>
  <c r="G141" i="6"/>
  <c r="F210" i="6"/>
  <c r="F151" i="6"/>
  <c r="F22" i="6"/>
  <c r="G153" i="6"/>
  <c r="H201" i="6"/>
  <c r="D32" i="6"/>
  <c r="F32" i="6" s="1"/>
  <c r="H240" i="6"/>
  <c r="F250" i="6"/>
  <c r="F290" i="6"/>
  <c r="F188" i="6"/>
  <c r="G127" i="6"/>
  <c r="H229" i="6"/>
  <c r="F254" i="6"/>
  <c r="G245" i="6"/>
  <c r="F163" i="6"/>
  <c r="H171" i="6"/>
  <c r="G132" i="6"/>
  <c r="H196" i="6"/>
  <c r="G54" i="6"/>
  <c r="H54" i="6" s="1"/>
  <c r="F15" i="6"/>
  <c r="G298" i="6"/>
  <c r="G246" i="6"/>
  <c r="F253" i="6"/>
  <c r="H237" i="6"/>
  <c r="F134" i="6"/>
  <c r="F282" i="6"/>
  <c r="F216" i="6"/>
  <c r="H231" i="6"/>
  <c r="F195" i="6"/>
  <c r="H273" i="6"/>
  <c r="U87" i="5"/>
  <c r="G238" i="6"/>
  <c r="F102" i="6"/>
  <c r="F123" i="6"/>
  <c r="F305" i="6"/>
  <c r="F167" i="6"/>
  <c r="H288" i="6"/>
  <c r="G240" i="6"/>
  <c r="F175" i="6"/>
  <c r="F247" i="6"/>
  <c r="F219" i="6"/>
  <c r="F244" i="6"/>
  <c r="G148" i="6"/>
  <c r="H148" i="6" s="1"/>
  <c r="G202" i="6"/>
  <c r="F71" i="6"/>
  <c r="H98" i="6"/>
  <c r="F69" i="6"/>
  <c r="F16" i="6"/>
  <c r="F231" i="6"/>
  <c r="F174" i="6"/>
  <c r="U16" i="5"/>
  <c r="F201" i="6"/>
  <c r="G45" i="6"/>
  <c r="H45" i="6" s="1"/>
  <c r="G292" i="6"/>
  <c r="F25" i="6"/>
  <c r="G260" i="6"/>
  <c r="H260" i="6" s="1"/>
  <c r="G128" i="6"/>
  <c r="F91" i="6"/>
  <c r="D185" i="6"/>
  <c r="F185" i="6" s="1"/>
  <c r="G169" i="6"/>
  <c r="F121" i="6"/>
  <c r="G85" i="6"/>
  <c r="H85" i="6" s="1"/>
  <c r="G160" i="6"/>
  <c r="F146" i="6"/>
  <c r="G111" i="6"/>
  <c r="F283" i="6"/>
  <c r="D161" i="6"/>
  <c r="H113" i="6"/>
  <c r="F182" i="6"/>
  <c r="F218" i="6"/>
  <c r="F280" i="6"/>
  <c r="H195" i="6"/>
  <c r="H289" i="6"/>
  <c r="F187" i="6"/>
  <c r="F152" i="6"/>
  <c r="F265" i="6"/>
  <c r="G167" i="6"/>
  <c r="H167" i="6" s="1"/>
  <c r="F213" i="6"/>
  <c r="G190" i="6"/>
  <c r="F293" i="6"/>
  <c r="D287" i="6"/>
  <c r="F287" i="6" s="1"/>
  <c r="F191" i="6"/>
  <c r="H258" i="6"/>
  <c r="F261" i="6"/>
  <c r="H290" i="6"/>
  <c r="H175" i="6"/>
  <c r="F289" i="6"/>
  <c r="F259" i="6"/>
  <c r="G152" i="6"/>
  <c r="F43" i="6"/>
  <c r="F99" i="6"/>
  <c r="H241" i="6"/>
  <c r="G87" i="6"/>
  <c r="F190" i="6"/>
  <c r="F198" i="6"/>
  <c r="H184" i="6"/>
  <c r="F277" i="6"/>
  <c r="H30" i="6"/>
  <c r="U6" i="5"/>
  <c r="G290" i="6"/>
  <c r="G175" i="6"/>
  <c r="F114" i="6"/>
  <c r="F275" i="6"/>
  <c r="H180" i="6"/>
  <c r="F229" i="6"/>
  <c r="F301" i="6"/>
  <c r="F276" i="6"/>
  <c r="D59" i="6"/>
  <c r="F59" i="6" s="1"/>
  <c r="F35" i="6"/>
  <c r="F133" i="6"/>
  <c r="H86" i="6"/>
  <c r="G196" i="6"/>
  <c r="F160" i="6"/>
  <c r="H183" i="6"/>
  <c r="F299" i="6"/>
  <c r="G176" i="6"/>
  <c r="H176" i="6" s="1"/>
  <c r="H271" i="6"/>
  <c r="H269" i="6"/>
  <c r="G218" i="6"/>
  <c r="H218" i="6" s="1"/>
  <c r="F65" i="6"/>
  <c r="D22" i="2"/>
  <c r="D25" i="2"/>
  <c r="D17" i="2"/>
  <c r="D32" i="2"/>
  <c r="D30" i="2"/>
  <c r="D14" i="2"/>
  <c r="D21" i="2"/>
  <c r="D18" i="2"/>
  <c r="D34" i="2"/>
  <c r="D15" i="2"/>
  <c r="D35" i="2"/>
  <c r="D16" i="2"/>
  <c r="D33" i="2"/>
  <c r="D19" i="2"/>
  <c r="D36" i="2"/>
  <c r="D37" i="2"/>
  <c r="D20" i="2"/>
  <c r="D28" i="2"/>
  <c r="D29" i="2"/>
  <c r="D26" i="2"/>
  <c r="D31" i="2"/>
  <c r="D23" i="2"/>
  <c r="D24" i="2"/>
  <c r="D27" i="2"/>
  <c r="M56" i="5"/>
  <c r="X56" i="5" s="1"/>
  <c r="G158" i="6" s="1"/>
  <c r="H158" i="6" s="1"/>
  <c r="H75" i="6"/>
  <c r="F200" i="6"/>
  <c r="G200" i="6"/>
  <c r="H200" i="6" s="1"/>
  <c r="H224" i="6"/>
  <c r="F104" i="6"/>
  <c r="H212" i="6"/>
  <c r="F53" i="6"/>
  <c r="G173" i="6"/>
  <c r="H173" i="6" s="1"/>
  <c r="F173" i="6"/>
  <c r="H189" i="6"/>
  <c r="G63" i="6"/>
  <c r="H63" i="6" s="1"/>
  <c r="G75" i="6"/>
  <c r="F135" i="6"/>
  <c r="F110" i="6"/>
  <c r="G18" i="6"/>
  <c r="W37" i="5"/>
  <c r="G100" i="6" s="1"/>
  <c r="K37" i="5"/>
  <c r="L37" i="5" s="1"/>
  <c r="M37" i="5" s="1"/>
  <c r="X37" i="5" s="1"/>
  <c r="G220" i="6"/>
  <c r="B18" i="3"/>
  <c r="C25" i="3"/>
  <c r="H138" i="6"/>
  <c r="G268" i="6"/>
  <c r="G177" i="6"/>
  <c r="F303" i="6"/>
  <c r="H214" i="6"/>
  <c r="F226" i="6"/>
  <c r="H188" i="6"/>
  <c r="H294" i="6"/>
  <c r="H245" i="6"/>
  <c r="F257" i="6"/>
  <c r="H181" i="6"/>
  <c r="F239" i="6"/>
  <c r="G209" i="6"/>
  <c r="H209" i="6" s="1"/>
  <c r="F64" i="6"/>
  <c r="H128" i="6"/>
  <c r="K21" i="5"/>
  <c r="L21" i="5" s="1"/>
  <c r="M21" i="5" s="1"/>
  <c r="X21" i="5" s="1"/>
  <c r="G53" i="6" s="1"/>
  <c r="H53" i="6" s="1"/>
  <c r="W21" i="5"/>
  <c r="G52" i="6" s="1"/>
  <c r="H52" i="6" s="1"/>
  <c r="H126" i="6"/>
  <c r="G276" i="6"/>
  <c r="K38" i="5"/>
  <c r="L38" i="5" s="1"/>
  <c r="M38" i="5" s="1"/>
  <c r="X38" i="5" s="1"/>
  <c r="G104" i="6" s="1"/>
  <c r="H104" i="6" s="1"/>
  <c r="W38" i="5"/>
  <c r="G103" i="6" s="1"/>
  <c r="H103" i="6" s="1"/>
  <c r="D8" i="6"/>
  <c r="G228" i="6"/>
  <c r="H66" i="6"/>
  <c r="F149" i="6"/>
  <c r="F78" i="6"/>
  <c r="F161" i="6"/>
  <c r="H147" i="6"/>
  <c r="K55" i="5"/>
  <c r="L55" i="5" s="1"/>
  <c r="M55" i="5" s="1"/>
  <c r="X55" i="5" s="1"/>
  <c r="G155" i="6" s="1"/>
  <c r="H155" i="6" s="1"/>
  <c r="W55" i="5"/>
  <c r="G154" i="6" s="1"/>
  <c r="H154" i="6" s="1"/>
  <c r="K51" i="5"/>
  <c r="L51" i="5" s="1"/>
  <c r="M51" i="5" s="1"/>
  <c r="X51" i="5" s="1"/>
  <c r="G143" i="6" s="1"/>
  <c r="H143" i="6" s="1"/>
  <c r="W51" i="5"/>
  <c r="G142" i="6" s="1"/>
  <c r="H142" i="6" s="1"/>
  <c r="K43" i="5"/>
  <c r="L43" i="5" s="1"/>
  <c r="M43" i="5" s="1"/>
  <c r="X43" i="5" s="1"/>
  <c r="G119" i="6" s="1"/>
  <c r="H119" i="6" s="1"/>
  <c r="W43" i="5"/>
  <c r="G118" i="6" s="1"/>
  <c r="H118" i="6" s="1"/>
  <c r="K16" i="5"/>
  <c r="L16" i="5" s="1"/>
  <c r="M16" i="5" s="1"/>
  <c r="X16" i="5" s="1"/>
  <c r="G38" i="6" s="1"/>
  <c r="H38" i="6" s="1"/>
  <c r="W16" i="5"/>
  <c r="G37" i="6" s="1"/>
  <c r="H37" i="6" s="1"/>
  <c r="F285" i="6"/>
  <c r="G185" i="6"/>
  <c r="H185" i="6" s="1"/>
  <c r="G207" i="6"/>
  <c r="G23" i="6"/>
  <c r="H23" i="6" s="1"/>
  <c r="G89" i="6"/>
  <c r="H89" i="6" s="1"/>
  <c r="G221" i="6"/>
  <c r="H221" i="6" s="1"/>
  <c r="G274" i="6"/>
  <c r="G162" i="6"/>
  <c r="G81" i="6"/>
  <c r="H149" i="6"/>
  <c r="G115" i="6"/>
  <c r="H115" i="6" s="1"/>
  <c r="G179" i="6"/>
  <c r="H283" i="6"/>
  <c r="H78" i="6"/>
  <c r="F130" i="6"/>
  <c r="G161" i="6"/>
  <c r="H161" i="6" s="1"/>
  <c r="G27" i="6"/>
  <c r="H27" i="6" s="1"/>
  <c r="U25" i="5"/>
  <c r="W19" i="5"/>
  <c r="G46" i="6" s="1"/>
  <c r="H46" i="6" s="1"/>
  <c r="K19" i="5"/>
  <c r="L19" i="5" s="1"/>
  <c r="M19" i="5" s="1"/>
  <c r="X19" i="5" s="1"/>
  <c r="G211" i="6"/>
  <c r="D101" i="6"/>
  <c r="F63" i="6"/>
  <c r="H81" i="6"/>
  <c r="G283" i="6"/>
  <c r="F70" i="6"/>
  <c r="G234" i="6"/>
  <c r="G302" i="6"/>
  <c r="H302" i="6" s="1"/>
  <c r="W29" i="5"/>
  <c r="G76" i="6" s="1"/>
  <c r="K29" i="5"/>
  <c r="L29" i="5" s="1"/>
  <c r="M29" i="5" s="1"/>
  <c r="X29" i="5" s="1"/>
  <c r="G77" i="6" s="1"/>
  <c r="H77" i="6" s="1"/>
  <c r="F242" i="6"/>
  <c r="W30" i="5"/>
  <c r="G79" i="6" s="1"/>
  <c r="H79" i="6" s="1"/>
  <c r="K30" i="5"/>
  <c r="L30" i="5" s="1"/>
  <c r="M30" i="5" s="1"/>
  <c r="X30" i="5" s="1"/>
  <c r="G80" i="6" s="1"/>
  <c r="H80" i="6" s="1"/>
  <c r="K22" i="5"/>
  <c r="L22" i="5" s="1"/>
  <c r="M22" i="5" s="1"/>
  <c r="X22" i="5" s="1"/>
  <c r="G56" i="6" s="1"/>
  <c r="H56" i="6" s="1"/>
  <c r="W22" i="5"/>
  <c r="G55" i="6" s="1"/>
  <c r="H55" i="6" s="1"/>
  <c r="V6" i="5"/>
  <c r="E16" i="3" s="1"/>
  <c r="J6" i="5"/>
  <c r="K31" i="5"/>
  <c r="L31" i="5" s="1"/>
  <c r="W31" i="5"/>
  <c r="G82" i="6" s="1"/>
  <c r="H82" i="6" s="1"/>
  <c r="H197" i="6"/>
  <c r="G47" i="6"/>
  <c r="H47" i="6" s="1"/>
  <c r="J7" i="5"/>
  <c r="V7" i="5"/>
  <c r="G9" i="6" s="1"/>
  <c r="F159" i="6"/>
  <c r="G126" i="6"/>
  <c r="H215" i="6"/>
  <c r="H99" i="6"/>
  <c r="G135" i="6"/>
  <c r="G88" i="6"/>
  <c r="H88" i="6" s="1"/>
  <c r="F220" i="6"/>
  <c r="G303" i="6"/>
  <c r="G214" i="6"/>
  <c r="G294" i="6"/>
  <c r="F55" i="6"/>
  <c r="H205" i="6"/>
  <c r="G182" i="6"/>
  <c r="H182" i="6" s="1"/>
  <c r="F204" i="6"/>
  <c r="G286" i="6"/>
  <c r="G280" i="6"/>
  <c r="K48" i="5"/>
  <c r="L48" i="5" s="1"/>
  <c r="M48" i="5" s="1"/>
  <c r="X48" i="5" s="1"/>
  <c r="G134" i="6" s="1"/>
  <c r="H134" i="6" s="1"/>
  <c r="W48" i="5"/>
  <c r="G133" i="6" s="1"/>
  <c r="H133" i="6" s="1"/>
  <c r="K13" i="5"/>
  <c r="L13" i="5" s="1"/>
  <c r="M13" i="5" s="1"/>
  <c r="X13" i="5" s="1"/>
  <c r="G29" i="6" s="1"/>
  <c r="H29" i="6" s="1"/>
  <c r="W13" i="5"/>
  <c r="G28" i="6" s="1"/>
  <c r="H28" i="6" s="1"/>
  <c r="K34" i="5"/>
  <c r="L34" i="5" s="1"/>
  <c r="M34" i="5" s="1"/>
  <c r="X34" i="5" s="1"/>
  <c r="G92" i="6" s="1"/>
  <c r="H92" i="6" s="1"/>
  <c r="W34" i="5"/>
  <c r="G91" i="6" s="1"/>
  <c r="H91" i="6" s="1"/>
  <c r="W40" i="5"/>
  <c r="G109" i="6" s="1"/>
  <c r="H109" i="6" s="1"/>
  <c r="K40" i="5"/>
  <c r="L40" i="5" s="1"/>
  <c r="M40" i="5" s="1"/>
  <c r="X40" i="5" s="1"/>
  <c r="G110" i="6" s="1"/>
  <c r="H110" i="6" s="1"/>
  <c r="G279" i="6"/>
  <c r="D16" i="3"/>
  <c r="F268" i="6"/>
  <c r="G258" i="6"/>
  <c r="F10" i="6"/>
  <c r="H226" i="6"/>
  <c r="K50" i="5"/>
  <c r="L50" i="5" s="1"/>
  <c r="M50" i="5" s="1"/>
  <c r="X50" i="5" s="1"/>
  <c r="G140" i="6" s="1"/>
  <c r="H140" i="6" s="1"/>
  <c r="W50" i="5"/>
  <c r="G139" i="6" s="1"/>
  <c r="H139" i="6" s="1"/>
  <c r="K14" i="5"/>
  <c r="L14" i="5" s="1"/>
  <c r="M14" i="5" s="1"/>
  <c r="X14" i="5" s="1"/>
  <c r="G32" i="6" s="1"/>
  <c r="H32" i="6" s="1"/>
  <c r="W14" i="5"/>
  <c r="G31" i="6" s="1"/>
  <c r="H31" i="6" s="1"/>
  <c r="F68" i="6"/>
  <c r="F178" i="6"/>
  <c r="F292" i="6"/>
  <c r="H301" i="6"/>
  <c r="H281" i="6"/>
  <c r="F245" i="6"/>
  <c r="G249" i="6"/>
  <c r="F252" i="6"/>
  <c r="G300" i="6"/>
  <c r="G239" i="6"/>
  <c r="H239" i="6" s="1"/>
  <c r="G93" i="6"/>
  <c r="F208" i="6"/>
  <c r="F50" i="6"/>
  <c r="G159" i="6"/>
  <c r="H295" i="6"/>
  <c r="G247" i="6"/>
  <c r="K26" i="5"/>
  <c r="L26" i="5" s="1"/>
  <c r="M26" i="5" s="1"/>
  <c r="X26" i="5" s="1"/>
  <c r="G68" i="6" s="1"/>
  <c r="H68" i="6" s="1"/>
  <c r="W26" i="5"/>
  <c r="G67" i="6" s="1"/>
  <c r="H67" i="6" s="1"/>
  <c r="G206" i="6"/>
  <c r="H206" i="6" s="1"/>
  <c r="G219" i="6"/>
  <c r="H207" i="6"/>
  <c r="F202" i="6"/>
  <c r="F274" i="6"/>
  <c r="K12" i="5"/>
  <c r="L12" i="5" s="1"/>
  <c r="M12" i="5" s="1"/>
  <c r="X12" i="5" s="1"/>
  <c r="G26" i="6" s="1"/>
  <c r="H26" i="6" s="1"/>
  <c r="W12" i="5"/>
  <c r="G25" i="6" s="1"/>
  <c r="H25" i="6" s="1"/>
  <c r="F172" i="6"/>
  <c r="G224" i="6"/>
  <c r="F246" i="6"/>
  <c r="F83" i="6"/>
  <c r="H299" i="6"/>
  <c r="U7" i="5"/>
  <c r="F286" i="6"/>
  <c r="G36" i="6"/>
  <c r="H36" i="6" s="1"/>
  <c r="F129" i="6"/>
  <c r="G297" i="6"/>
  <c r="H70" i="6"/>
  <c r="G230" i="6"/>
  <c r="H230" i="6" s="1"/>
  <c r="F234" i="6"/>
  <c r="J8" i="5"/>
  <c r="V8" i="5"/>
  <c r="G12" i="6" s="1"/>
  <c r="H12" i="6" s="1"/>
  <c r="H242" i="6"/>
  <c r="V17" i="5"/>
  <c r="G39" i="6" s="1"/>
  <c r="H39" i="6" s="1"/>
  <c r="J17" i="5"/>
  <c r="F88" i="6"/>
  <c r="G288" i="6"/>
  <c r="F260" i="6"/>
  <c r="G266" i="6"/>
  <c r="H266" i="6" s="1"/>
  <c r="F31" i="6"/>
  <c r="F189" i="6"/>
  <c r="H152" i="6"/>
  <c r="F87" i="6"/>
  <c r="G186" i="6"/>
  <c r="H150" i="6"/>
  <c r="H18" i="6"/>
  <c r="G194" i="6"/>
  <c r="H194" i="6" s="1"/>
  <c r="G264" i="6"/>
  <c r="F90" i="6"/>
  <c r="H272" i="6"/>
  <c r="G293" i="6"/>
  <c r="H293" i="6" s="1"/>
  <c r="G287" i="6"/>
  <c r="H287" i="6" s="1"/>
  <c r="F29" i="6"/>
  <c r="G184" i="6"/>
  <c r="F197" i="6"/>
  <c r="H277" i="6"/>
  <c r="G57" i="6"/>
  <c r="H57" i="6" s="1"/>
  <c r="F47" i="6"/>
  <c r="H177" i="6"/>
  <c r="H170" i="6"/>
  <c r="G261" i="6"/>
  <c r="G212" i="6"/>
  <c r="G223" i="6"/>
  <c r="F127" i="6"/>
  <c r="H178" i="6"/>
  <c r="H156" i="6"/>
  <c r="F281" i="6"/>
  <c r="F82" i="6"/>
  <c r="F181" i="6"/>
  <c r="H279" i="6"/>
  <c r="F93" i="6"/>
  <c r="K52" i="5"/>
  <c r="L52" i="5" s="1"/>
  <c r="M52" i="5" s="1"/>
  <c r="X52" i="5" s="1"/>
  <c r="G146" i="6" s="1"/>
  <c r="H146" i="6" s="1"/>
  <c r="W52" i="5"/>
  <c r="G145" i="6" s="1"/>
  <c r="H145" i="6" s="1"/>
  <c r="H276" i="6"/>
  <c r="G285" i="6"/>
  <c r="K49" i="5"/>
  <c r="L49" i="5" s="1"/>
  <c r="M49" i="5" s="1"/>
  <c r="X49" i="5" s="1"/>
  <c r="G137" i="6" s="1"/>
  <c r="H137" i="6" s="1"/>
  <c r="W49" i="5"/>
  <c r="G136" i="6" s="1"/>
  <c r="H136" i="6" s="1"/>
  <c r="F162" i="6"/>
  <c r="G172" i="6"/>
  <c r="F224" i="6"/>
  <c r="F115" i="6"/>
  <c r="H179" i="6"/>
  <c r="H217" i="6"/>
  <c r="H267" i="6"/>
  <c r="G278" i="6"/>
  <c r="H278" i="6" s="1"/>
  <c r="F113" i="6"/>
  <c r="G236" i="6"/>
  <c r="H236" i="6" s="1"/>
  <c r="G216" i="6"/>
  <c r="H129" i="6"/>
  <c r="U38" i="5"/>
  <c r="F33" i="6"/>
  <c r="K47" i="5"/>
  <c r="L47" i="5" s="1"/>
  <c r="M47" i="5" s="1"/>
  <c r="X47" i="5" s="1"/>
  <c r="G131" i="6" s="1"/>
  <c r="H131" i="6" s="1"/>
  <c r="W47" i="5"/>
  <c r="G130" i="6" s="1"/>
  <c r="H130" i="6" s="1"/>
  <c r="K24" i="5"/>
  <c r="L24" i="5" s="1"/>
  <c r="M24" i="5" s="1"/>
  <c r="X24" i="5" s="1"/>
  <c r="G62" i="6" s="1"/>
  <c r="H62" i="6" s="1"/>
  <c r="W24" i="5"/>
  <c r="G61" i="6" s="1"/>
  <c r="H61" i="6" s="1"/>
  <c r="H208" i="6"/>
  <c r="G24" i="6"/>
  <c r="H24" i="6" s="1"/>
  <c r="F212" i="6"/>
  <c r="G275" i="6"/>
  <c r="H275" i="6" s="1"/>
  <c r="H247" i="6"/>
  <c r="F24" i="6"/>
  <c r="G144" i="6"/>
  <c r="F86" i="6"/>
  <c r="F37" i="6"/>
  <c r="U21" i="5"/>
  <c r="F61" i="6"/>
  <c r="F66" i="6"/>
  <c r="F46" i="6"/>
  <c r="G235" i="6"/>
  <c r="V28" i="5"/>
  <c r="G72" i="6" s="1"/>
  <c r="H72" i="6" s="1"/>
  <c r="J28" i="5"/>
  <c r="K35" i="5"/>
  <c r="L35" i="5" s="1"/>
  <c r="M35" i="5" s="1"/>
  <c r="X35" i="5" s="1"/>
  <c r="G95" i="6" s="1"/>
  <c r="H95" i="6" s="1"/>
  <c r="W35" i="5"/>
  <c r="G94" i="6" s="1"/>
  <c r="H94" i="6" s="1"/>
  <c r="F39" i="6"/>
  <c r="G204" i="6"/>
  <c r="K39" i="5"/>
  <c r="L39" i="5" s="1"/>
  <c r="M39" i="5" s="1"/>
  <c r="X39" i="5" s="1"/>
  <c r="G107" i="6" s="1"/>
  <c r="H107" i="6" s="1"/>
  <c r="W39" i="5"/>
  <c r="G106" i="6" s="1"/>
  <c r="H106" i="6" s="1"/>
  <c r="K9" i="5"/>
  <c r="L9" i="5" s="1"/>
  <c r="M9" i="5" s="1"/>
  <c r="X9" i="5" s="1"/>
  <c r="G17" i="6" s="1"/>
  <c r="H17" i="6" s="1"/>
  <c r="W9" i="5"/>
  <c r="G16" i="6" s="1"/>
  <c r="H16" i="6" s="1"/>
  <c r="W23" i="5"/>
  <c r="G58" i="6" s="1"/>
  <c r="H58" i="6" s="1"/>
  <c r="K23" i="5"/>
  <c r="L23" i="5" s="1"/>
  <c r="M23" i="5" s="1"/>
  <c r="X23" i="5" s="1"/>
  <c r="G59" i="6" s="1"/>
  <c r="H59" i="6" s="1"/>
  <c r="H211" i="6"/>
  <c r="F67" i="6"/>
  <c r="F75" i="6"/>
  <c r="H264" i="6"/>
  <c r="H90" i="6"/>
  <c r="G51" i="6"/>
  <c r="H51" i="6" s="1"/>
  <c r="F14" i="6"/>
  <c r="G272" i="6"/>
  <c r="F34" i="6"/>
  <c r="F57" i="6"/>
  <c r="H108" i="6"/>
  <c r="H100" i="6"/>
  <c r="H76" i="6"/>
  <c r="F156" i="6"/>
  <c r="H249" i="6"/>
  <c r="K25" i="5"/>
  <c r="L25" i="5" s="1"/>
  <c r="M25" i="5" s="1"/>
  <c r="X25" i="5" s="1"/>
  <c r="G65" i="6" s="1"/>
  <c r="H65" i="6" s="1"/>
  <c r="W25" i="5"/>
  <c r="G64" i="6" s="1"/>
  <c r="H64" i="6" s="1"/>
  <c r="F128" i="6"/>
  <c r="K10" i="5"/>
  <c r="L10" i="5" s="1"/>
  <c r="M10" i="5" s="1"/>
  <c r="X10" i="5" s="1"/>
  <c r="G20" i="6" s="1"/>
  <c r="H20" i="6" s="1"/>
  <c r="W10" i="5"/>
  <c r="G19" i="6" s="1"/>
  <c r="H19" i="6" s="1"/>
  <c r="D17" i="3"/>
  <c r="V20" i="5"/>
  <c r="G48" i="6" s="1"/>
  <c r="H48" i="6" s="1"/>
  <c r="J20" i="5"/>
  <c r="D125" i="6"/>
  <c r="J18" i="5"/>
  <c r="V18" i="5"/>
  <c r="G42" i="6" s="1"/>
  <c r="H42" i="6" s="1"/>
  <c r="V15" i="5"/>
  <c r="G33" i="6" s="1"/>
  <c r="H33" i="6" s="1"/>
  <c r="J15" i="5"/>
  <c r="B7" i="10" l="1"/>
  <c r="B11" i="10"/>
  <c r="G6" i="6"/>
  <c r="B12" i="10"/>
  <c r="H9" i="6"/>
  <c r="F35" i="2"/>
  <c r="F29" i="2"/>
  <c r="F19" i="2"/>
  <c r="F23" i="2"/>
  <c r="F28" i="2"/>
  <c r="F20" i="2"/>
  <c r="F31" i="2"/>
  <c r="W8" i="5"/>
  <c r="G13" i="6" s="1"/>
  <c r="H13" i="6" s="1"/>
  <c r="K8" i="5"/>
  <c r="L8" i="5" s="1"/>
  <c r="M8" i="5" s="1"/>
  <c r="X8" i="5" s="1"/>
  <c r="G14" i="6" s="1"/>
  <c r="H14" i="6" s="1"/>
  <c r="K15" i="5"/>
  <c r="L15" i="5" s="1"/>
  <c r="M15" i="5" s="1"/>
  <c r="X15" i="5" s="1"/>
  <c r="G35" i="6" s="1"/>
  <c r="H35" i="6" s="1"/>
  <c r="W15" i="5"/>
  <c r="G34" i="6" s="1"/>
  <c r="H34" i="6" s="1"/>
  <c r="C31" i="2"/>
  <c r="C14" i="2"/>
  <c r="C18" i="2"/>
  <c r="C22" i="2"/>
  <c r="C15" i="2"/>
  <c r="C34" i="2"/>
  <c r="C24" i="2"/>
  <c r="C16" i="2"/>
  <c r="C32" i="2"/>
  <c r="C19" i="2"/>
  <c r="C37" i="2"/>
  <c r="C23" i="2"/>
  <c r="C25" i="2"/>
  <c r="C33" i="2"/>
  <c r="C30" i="2"/>
  <c r="C35" i="2"/>
  <c r="C36" i="2"/>
  <c r="C29" i="2"/>
  <c r="C21" i="2"/>
  <c r="C17" i="2"/>
  <c r="C26" i="2"/>
  <c r="C27" i="2"/>
  <c r="C28" i="2"/>
  <c r="C20" i="2"/>
  <c r="M31" i="5"/>
  <c r="X31" i="5" s="1"/>
  <c r="G83" i="6" s="1"/>
  <c r="H83" i="6" s="1"/>
  <c r="W28" i="5"/>
  <c r="G73" i="6" s="1"/>
  <c r="H73" i="6" s="1"/>
  <c r="K28" i="5"/>
  <c r="L28" i="5" s="1"/>
  <c r="M28" i="5" s="1"/>
  <c r="X28" i="5" s="1"/>
  <c r="G74" i="6" s="1"/>
  <c r="H74" i="6" s="1"/>
  <c r="K6" i="5"/>
  <c r="W6" i="5"/>
  <c r="C9" i="3"/>
  <c r="G101" i="6"/>
  <c r="H101" i="6" s="1"/>
  <c r="F101" i="6"/>
  <c r="F32" i="2"/>
  <c r="F24" i="2"/>
  <c r="F25" i="2"/>
  <c r="F18" i="2"/>
  <c r="F8" i="6"/>
  <c r="F22" i="2"/>
  <c r="F36" i="2"/>
  <c r="F14" i="2"/>
  <c r="F27" i="2"/>
  <c r="F15" i="2"/>
  <c r="F37" i="2"/>
  <c r="F16" i="2"/>
  <c r="W20" i="5"/>
  <c r="G49" i="6" s="1"/>
  <c r="H49" i="6" s="1"/>
  <c r="K20" i="5"/>
  <c r="L20" i="5" s="1"/>
  <c r="M20" i="5" s="1"/>
  <c r="X20" i="5" s="1"/>
  <c r="G50" i="6" s="1"/>
  <c r="H50" i="6" s="1"/>
  <c r="F26" i="2"/>
  <c r="K18" i="5"/>
  <c r="L18" i="5" s="1"/>
  <c r="M18" i="5" s="1"/>
  <c r="X18" i="5" s="1"/>
  <c r="G44" i="6" s="1"/>
  <c r="H44" i="6" s="1"/>
  <c r="W18" i="5"/>
  <c r="G43" i="6" s="1"/>
  <c r="H43" i="6" s="1"/>
  <c r="K17" i="5"/>
  <c r="L17" i="5" s="1"/>
  <c r="M17" i="5" s="1"/>
  <c r="X17" i="5" s="1"/>
  <c r="G41" i="6" s="1"/>
  <c r="H41" i="6" s="1"/>
  <c r="W17" i="5"/>
  <c r="G40" i="6" s="1"/>
  <c r="H40" i="6" s="1"/>
  <c r="F21" i="2"/>
  <c r="F30" i="2"/>
  <c r="F17" i="2"/>
  <c r="G125" i="6"/>
  <c r="H125" i="6"/>
  <c r="F125" i="6"/>
  <c r="W7" i="5"/>
  <c r="G10" i="6" s="1"/>
  <c r="H10" i="6" s="1"/>
  <c r="K7" i="5"/>
  <c r="L7" i="5" s="1"/>
  <c r="M7" i="5" s="1"/>
  <c r="X7" i="5" s="1"/>
  <c r="G11" i="6" s="1"/>
  <c r="H11" i="6" s="1"/>
  <c r="F33" i="2"/>
  <c r="F34" i="2"/>
  <c r="H6" i="6"/>
  <c r="E8" i="2" l="1"/>
  <c r="D18" i="3"/>
  <c r="D20" i="3" s="1"/>
  <c r="B13" i="10"/>
  <c r="E17" i="3"/>
  <c r="G7" i="6"/>
  <c r="C10" i="3"/>
  <c r="L6" i="5"/>
  <c r="H7" i="6" l="1"/>
  <c r="G18" i="2"/>
  <c r="G29" i="2"/>
  <c r="G16" i="2"/>
  <c r="G34" i="2"/>
  <c r="G27" i="2"/>
  <c r="G23" i="2"/>
  <c r="G32" i="2"/>
  <c r="G26" i="2"/>
  <c r="G30" i="2"/>
  <c r="G25" i="2"/>
  <c r="G37" i="2"/>
  <c r="G20" i="2"/>
  <c r="G24" i="2"/>
  <c r="G31" i="2"/>
  <c r="G28" i="2"/>
  <c r="G19" i="2"/>
  <c r="G15" i="2"/>
  <c r="G22" i="2"/>
  <c r="G14" i="2"/>
  <c r="G36" i="2"/>
  <c r="G33" i="2"/>
  <c r="G17" i="2"/>
  <c r="G21" i="2"/>
  <c r="G35" i="2"/>
  <c r="B33" i="2"/>
  <c r="E33" i="2" s="1"/>
  <c r="J33" i="2" s="1"/>
  <c r="L33" i="2" s="1"/>
  <c r="B22" i="2"/>
  <c r="E22" i="2" s="1"/>
  <c r="J22" i="2" s="1"/>
  <c r="L22" i="2" s="1"/>
  <c r="B16" i="2"/>
  <c r="E16" i="2" s="1"/>
  <c r="J16" i="2" s="1"/>
  <c r="L16" i="2" s="1"/>
  <c r="B30" i="2"/>
  <c r="E30" i="2" s="1"/>
  <c r="J30" i="2" s="1"/>
  <c r="L30" i="2" s="1"/>
  <c r="B24" i="2"/>
  <c r="E24" i="2" s="1"/>
  <c r="J24" i="2" s="1"/>
  <c r="L24" i="2" s="1"/>
  <c r="H39" i="2"/>
  <c r="B31" i="2"/>
  <c r="E31" i="2" s="1"/>
  <c r="J31" i="2" s="1"/>
  <c r="L31" i="2" s="1"/>
  <c r="B23" i="2"/>
  <c r="E23" i="2" s="1"/>
  <c r="J23" i="2" s="1"/>
  <c r="L23" i="2" s="1"/>
  <c r="B25" i="2"/>
  <c r="E25" i="2" s="1"/>
  <c r="J25" i="2" s="1"/>
  <c r="L25" i="2" s="1"/>
  <c r="B37" i="2"/>
  <c r="E37" i="2" s="1"/>
  <c r="J37" i="2" s="1"/>
  <c r="L37" i="2" s="1"/>
  <c r="B17" i="2"/>
  <c r="E17" i="2" s="1"/>
  <c r="J17" i="2" s="1"/>
  <c r="L17" i="2" s="1"/>
  <c r="B14" i="2"/>
  <c r="E14" i="2" s="1"/>
  <c r="B20" i="2"/>
  <c r="E20" i="2" s="1"/>
  <c r="J20" i="2" s="1"/>
  <c r="L20" i="2" s="1"/>
  <c r="B36" i="2"/>
  <c r="E36" i="2" s="1"/>
  <c r="J36" i="2" s="1"/>
  <c r="L36" i="2" s="1"/>
  <c r="B19" i="2"/>
  <c r="E19" i="2" s="1"/>
  <c r="J19" i="2" s="1"/>
  <c r="L19" i="2" s="1"/>
  <c r="B32" i="2"/>
  <c r="E32" i="2" s="1"/>
  <c r="J32" i="2" s="1"/>
  <c r="L32" i="2" s="1"/>
  <c r="B26" i="2"/>
  <c r="E26" i="2" s="1"/>
  <c r="J26" i="2" s="1"/>
  <c r="L26" i="2" s="1"/>
  <c r="B34" i="2"/>
  <c r="E34" i="2" s="1"/>
  <c r="J34" i="2" s="1"/>
  <c r="L34" i="2" s="1"/>
  <c r="B15" i="2"/>
  <c r="E15" i="2" s="1"/>
  <c r="J15" i="2" s="1"/>
  <c r="L15" i="2" s="1"/>
  <c r="B18" i="2"/>
  <c r="E18" i="2" s="1"/>
  <c r="J18" i="2" s="1"/>
  <c r="L18" i="2" s="1"/>
  <c r="B35" i="2"/>
  <c r="E35" i="2" s="1"/>
  <c r="J35" i="2" s="1"/>
  <c r="L35" i="2" s="1"/>
  <c r="B21" i="2"/>
  <c r="E21" i="2" s="1"/>
  <c r="J21" i="2" s="1"/>
  <c r="L21" i="2" s="1"/>
  <c r="B29" i="2"/>
  <c r="E29" i="2" s="1"/>
  <c r="J29" i="2" s="1"/>
  <c r="L29" i="2" s="1"/>
  <c r="B27" i="2"/>
  <c r="E27" i="2" s="1"/>
  <c r="J27" i="2" s="1"/>
  <c r="L27" i="2" s="1"/>
  <c r="B28" i="2"/>
  <c r="E28" i="2" s="1"/>
  <c r="J28" i="2" s="1"/>
  <c r="L28" i="2" s="1"/>
  <c r="M6" i="5"/>
  <c r="C11" i="3"/>
  <c r="N19" i="2" l="1"/>
  <c r="M19" i="2"/>
  <c r="N31" i="2"/>
  <c r="M31" i="2"/>
  <c r="M21" i="2"/>
  <c r="N21" i="2"/>
  <c r="N36" i="2"/>
  <c r="M36" i="2"/>
  <c r="B9" i="10"/>
  <c r="M18" i="2"/>
  <c r="N18" i="2"/>
  <c r="J14" i="2"/>
  <c r="L14" i="2" s="1"/>
  <c r="E39" i="2"/>
  <c r="B39" i="2"/>
  <c r="N30" i="2"/>
  <c r="M30" i="2"/>
  <c r="N24" i="2"/>
  <c r="M24" i="2"/>
  <c r="N17" i="2"/>
  <c r="M17" i="2"/>
  <c r="N16" i="2"/>
  <c r="M16" i="2"/>
  <c r="N34" i="2"/>
  <c r="M34" i="2"/>
  <c r="M37" i="2"/>
  <c r="N37" i="2"/>
  <c r="N22" i="2"/>
  <c r="M22" i="2"/>
  <c r="N15" i="2"/>
  <c r="M15" i="2"/>
  <c r="X6" i="5"/>
  <c r="C12" i="3"/>
  <c r="N28" i="2"/>
  <c r="M28" i="2"/>
  <c r="N26" i="2"/>
  <c r="M26" i="2"/>
  <c r="N25" i="2"/>
  <c r="M25" i="2"/>
  <c r="M33" i="2"/>
  <c r="N33" i="2"/>
  <c r="M29" i="2"/>
  <c r="N29" i="2"/>
  <c r="N35" i="2"/>
  <c r="M35" i="2"/>
  <c r="N20" i="2"/>
  <c r="M20" i="2"/>
  <c r="M27" i="2"/>
  <c r="N27" i="2"/>
  <c r="N32" i="2"/>
  <c r="M32" i="2"/>
  <c r="N23" i="2"/>
  <c r="M23" i="2"/>
  <c r="E18" i="3" l="1"/>
  <c r="G8" i="6"/>
  <c r="N14" i="2"/>
  <c r="M14" i="2"/>
  <c r="H33" i="2" l="1"/>
  <c r="I33" i="2" s="1"/>
  <c r="H28" i="2"/>
  <c r="I28" i="2" s="1"/>
  <c r="H14" i="2"/>
  <c r="I14" i="2" s="1"/>
  <c r="H36" i="2"/>
  <c r="I36" i="2" s="1"/>
  <c r="H25" i="2"/>
  <c r="I25" i="2" s="1"/>
  <c r="H34" i="2"/>
  <c r="I34" i="2" s="1"/>
  <c r="H27" i="2"/>
  <c r="I27" i="2" s="1"/>
  <c r="H24" i="2"/>
  <c r="I24" i="2" s="1"/>
  <c r="H29" i="2"/>
  <c r="I29" i="2" s="1"/>
  <c r="H26" i="2"/>
  <c r="I26" i="2" s="1"/>
  <c r="H35" i="2"/>
  <c r="I35" i="2" s="1"/>
  <c r="H32" i="2"/>
  <c r="I32" i="2" s="1"/>
  <c r="H19" i="2"/>
  <c r="I19" i="2" s="1"/>
  <c r="H20" i="2"/>
  <c r="I20" i="2" s="1"/>
  <c r="H15" i="2"/>
  <c r="I15" i="2" s="1"/>
  <c r="H23" i="2"/>
  <c r="I23" i="2" s="1"/>
  <c r="H22" i="2"/>
  <c r="I22" i="2" s="1"/>
  <c r="H16" i="2"/>
  <c r="I16" i="2" s="1"/>
  <c r="H21" i="2"/>
  <c r="I21" i="2" s="1"/>
  <c r="H31" i="2"/>
  <c r="I31" i="2" s="1"/>
  <c r="H18" i="2"/>
  <c r="I18" i="2" s="1"/>
  <c r="H17" i="2"/>
  <c r="I17" i="2" s="1"/>
  <c r="H30" i="2"/>
  <c r="I30" i="2" s="1"/>
  <c r="H37" i="2"/>
  <c r="I37" i="2" s="1"/>
  <c r="H8" i="6"/>
  <c r="H8" i="2" l="1"/>
  <c r="B10" i="10"/>
  <c r="B18" i="10"/>
  <c r="K8" i="2"/>
</calcChain>
</file>

<file path=xl/sharedStrings.xml><?xml version="1.0" encoding="utf-8"?>
<sst xmlns="http://schemas.openxmlformats.org/spreadsheetml/2006/main" count="1586" uniqueCount="716">
  <si>
    <t>NOSSCR | from current cases to hearing workload and fee cash</t>
  </si>
  <si>
    <t>1  Start with the synthetic example</t>
  </si>
  <si>
    <t>This workbook contains 100 fictional current cases and 60 fictional resolved case-stage records. As-of is fixed at October 1, 2026. The first teaching case, I-001, begins at INITIAL and follows every remaining award path.</t>
  </si>
  <si>
    <t>2  Prepare your own normalized data</t>
  </si>
  <si>
    <t>Do not paste an unmodified SSA report here. Map source exports manually to Case inputs A:H. Use one stable pseudonymous case ID across snapshots and fees; remove names, SSNs and other identifiers. Retain only the latest observation at or before as-of. Resolve equal-date conflicts before import.</t>
  </si>
  <si>
    <t>3  Use event dates, not observation dates</t>
  </si>
  <si>
    <t>stage_start means application filing for INITIAL, reconsideration filing for RECON, or hearing request for HEARING. observed_as_of is when the source row was observed. First seen in a report is not proof of the actual event date. Unknown dates remain missing and are excluded for review.</t>
  </si>
  <si>
    <t>4  Paste values and inspect the calculation</t>
  </si>
  <si>
    <t>Clear A6:H205 on Case inputs, then paste up to 200 normalized rows. Do not delete rows or overwrite column I. Exact stages: INITIAL, RECON, HEARING. Exact office codes join Benchmarks. A missing scheduled date becomes unscheduled; a stale scheduled date needs review or an explicit future reviewed_current_event.</t>
  </si>
  <si>
    <t>5  Calibrate the matched history and assumptions</t>
  </si>
  <si>
    <t>Matched history accepts up to 300 case-stage records. Aggregate installments/programs into total net realized fees per favorable case; keep mature zero-fee favorable cases. Set fee_complete=YES only after your chosen follow-up period is complete. Synthetic rates/fees update from these rows; other drivers are on Assumptions.</t>
  </si>
  <si>
    <t>6  Understand overdue cases and public averages</t>
  </si>
  <si>
    <t>Past-benchmark unscheduled cases are flagged OVERDUE and assigned an explicit two-month future window from as-of. This same date drives hearings and downstream cash. A reviewed_current_event can replace the current-stage event. Averages minus elapsed age are scenario approximations, not conditional expected waits.</t>
  </si>
  <si>
    <t>7  Read the results and the boundary</t>
  </si>
  <si>
    <t>Forecast shows monthly hearings, all three award-stage fee streams, capacity gaps, and the cash tail. Forecast review reconciles mass and cash. These are existing-caseload receipts only: no future intake, AC/court/remands, already-held matters, awarded/unpaid receivables, opening cash or expenses. It cannot prove whole-firm payroll affordability.</t>
  </si>
  <si>
    <t>8  Run a sensitivity, then restore it</t>
  </si>
  <si>
    <t>Existing caseload | hearing workload and fee receipts</t>
  </si>
  <si>
    <t>Synthetic planning scenario • Oct 2026–Sep 2028 • Existing cases only • Cash includes initial, recon and hearing awards; opening receivables and expenses are excluded.</t>
  </si>
  <si>
    <t>Valid cases</t>
  </si>
  <si>
    <t>Excluded cases</t>
  </si>
  <si>
    <t>Overdue, future window</t>
  </si>
  <si>
    <t>Scenario delay (months)</t>
  </si>
  <si>
    <t>Expected hearings</t>
  </si>
  <si>
    <t>Total expected fees</t>
  </si>
  <si>
    <t>In-window fee cash</t>
  </si>
  <si>
    <t>Beyond-window fee cash</t>
  </si>
  <si>
    <t>Month</t>
  </si>
  <si>
    <t>Hearings: initial</t>
  </si>
  <si>
    <t>Hearings: recon</t>
  </si>
  <si>
    <t>Hearings: current</t>
  </si>
  <si>
    <t>Total hearings</t>
  </si>
  <si>
    <t>Initial fee cash</t>
  </si>
  <si>
    <t>Recon fee cash</t>
  </si>
  <si>
    <t>Hearing fee cash</t>
  </si>
  <si>
    <t>Total fee cash</t>
  </si>
  <si>
    <t>Capacity needed FTE</t>
  </si>
  <si>
    <t>Available FTE</t>
  </si>
  <si>
    <t>Capacity gap FTE</t>
  </si>
  <si>
    <t>Extra whole people</t>
  </si>
  <si>
    <t>Start hiring by</t>
  </si>
  <si>
    <t>Chart month</t>
  </si>
  <si>
    <t>Peak hearing month</t>
  </si>
  <si>
    <t>Peak hearings</t>
  </si>
  <si>
    <t>Hearings beyond window</t>
  </si>
  <si>
    <t>Capacity is a workload translation, not an instruction to hire. Fractional expected hearings / 20 gives advocate-equivalents; subtract available capacity. Whole-person count rounds the gap up. Training/preparation may require earlier readiness.</t>
  </si>
  <si>
    <t>A cohort fee forecast cannot establish payroll affordability. Add opening cash, all other receipts, existing receivables, future intake and all expenses before making a whole-firm cash decision. Dates are scenario placements, not confidence bounds.</t>
  </si>
  <si>
    <t>Start with I-001 at INITIAL</t>
  </si>
  <si>
    <t>Selected case</t>
  </si>
  <si>
    <t>I-001</t>
  </si>
  <si>
    <t>Input row lookup</t>
  </si>
  <si>
    <t>Case status</t>
  </si>
  <si>
    <t>Stage start</t>
  </si>
  <si>
    <t>Initial endpoint</t>
  </si>
  <si>
    <t>Recon endpoint if appealed</t>
  </si>
  <si>
    <t>Hearing request if appealed</t>
  </si>
  <si>
    <t>Hearing if reached</t>
  </si>
  <si>
    <t>Hearing decision if reached</t>
  </si>
  <si>
    <t>Award path</t>
  </si>
  <si>
    <t>Win probability</t>
  </si>
  <si>
    <t>Net fee / favorable</t>
  </si>
  <si>
    <t>Expected fee cash</t>
  </si>
  <si>
    <t>Fee date</t>
  </si>
  <si>
    <t>INITIAL</t>
  </si>
  <si>
    <t>RECON</t>
  </si>
  <si>
    <t>HEARING</t>
  </si>
  <si>
    <t>Probability reaches hearing</t>
  </si>
  <si>
    <t>Stops after denial</t>
  </si>
  <si>
    <t>Hearing unfavorable</t>
  </si>
  <si>
    <t>Terminal probability total</t>
  </si>
  <si>
    <t>Base demo algebra: Initial win = 0.15. Recon win = (1−0.15)×0.90×0.20 = 0.153. Reach hearing = (1−0.15)×0.90×(1−0.20)×0.90 = 0.5508. Hearing favorable = 0.5508×0.55 = 0.30294.</t>
  </si>
  <si>
    <t>The award branches are mutually exclusive. Expected fees add across branches because each is weighted by its probability. A case already at RECON skips the initial factors; a current HEARING case has hearing weight 1.</t>
  </si>
  <si>
    <t>Base demo dates: Jan 5 initial endpoint → +1 calendar month filing → +212 days recon endpoint → +1 month hearing request → +8 office months hearing → +1 month decision → +2 months fee. Early awards use the separate endpoint-to-fee offset.</t>
  </si>
  <si>
    <t>Model assumptions</t>
  </si>
  <si>
    <t>Driver</t>
  </si>
  <si>
    <t>Active input</t>
  </si>
  <si>
    <t>Meaning / source</t>
  </si>
  <si>
    <t>Fixed as-of date</t>
  </si>
  <si>
    <t>Frozen synthetic snapshot; never TODAY().</t>
  </si>
  <si>
    <t>Forecast horizon (months)</t>
  </si>
  <si>
    <t>Display starts at as-of month; keep as-of on first day of month.</t>
  </si>
  <si>
    <t>Horizon end (exclusive)</t>
  </si>
  <si>
    <t>Months Oct 2026 through Sep 2028. Tail remains visible.</t>
  </si>
  <si>
    <t>Initial resolution proxy (days)</t>
  </si>
  <si>
    <t>SSA national Aug 2026; broad endpoint scenario. See Benchmarks.</t>
  </si>
  <si>
    <t>Recon resolution proxy (days)</t>
  </si>
  <si>
    <t>Initial denial → recon filing (months)</t>
  </si>
  <si>
    <t>Illustrative firm assumption, conditional on continuation.</t>
  </si>
  <si>
    <t>Recon denial → hearing request (months)</t>
  </si>
  <si>
    <t>Early endpoint → representative fee (months)</t>
  </si>
  <si>
    <t>Illustrative incremental offset; not another full award-to-benefit-payment lag.</t>
  </si>
  <si>
    <t>Hearing held → decision (months)</t>
  </si>
  <si>
    <t>Illustrative; separate from office request-to-held clock.</t>
  </si>
  <si>
    <t>Hearing decision → fee (months)</t>
  </si>
  <si>
    <t>Illustrative representative-fee timing.</t>
  </si>
  <si>
    <t>Overdue current event future window (months)</t>
  </si>
  <si>
    <t>Explicit future scenario from as-of; never silently clamp to current month.</t>
  </si>
  <si>
    <t>Extra unscheduled hearing delay (months)</t>
  </si>
  <si>
    <t>Try 2 for the slower scenario; scheduled hearings stay fixed.</t>
  </si>
  <si>
    <t>Initial favorable probability</t>
  </si>
  <si>
    <t>Matched synthetic INITIAL resolved history; conditional on current stage.</t>
  </si>
  <si>
    <t>Recon favorable probability</t>
  </si>
  <si>
    <t>Matched synthetic RECON resolved history; conditional on reaching recon.</t>
  </si>
  <si>
    <t>Hearing favorable probability</t>
  </si>
  <si>
    <t>Matched synthetic HEARING resolved history; conditional on held hearing.</t>
  </si>
  <si>
    <t>Initial denial continuation</t>
  </si>
  <si>
    <t>Illustrative continuation to recon.</t>
  </si>
  <si>
    <t>Recon denial continuation</t>
  </si>
  <si>
    <t>Illustrative continuation to hearing. Hearing-to-held is assumed 100%.</t>
  </si>
  <si>
    <t>Initial net fee per favorable case</t>
  </si>
  <si>
    <t>Includes mature favorable cases with zero realized fees. USD.</t>
  </si>
  <si>
    <t>Recon net fee per favorable case</t>
  </si>
  <si>
    <t>Sum installments/programs at case+award-stage before normalization. USD.</t>
  </si>
  <si>
    <t>Hearing net fee per favorable case</t>
  </si>
  <si>
    <t>$49,500 / 11 favorable cases = $4,500. Synthetic.</t>
  </si>
  <si>
    <t>Hearings per advocate per month</t>
  </si>
  <si>
    <t>Capacity assumption including normal preparation, not industry standard.</t>
  </si>
  <si>
    <t>Existing advocate capacity (FTE)</t>
  </si>
  <si>
    <t>Available to this modeled hearing caseload, not total firm headcount.</t>
  </si>
  <si>
    <t>Hiring / training lead (months)</t>
  </si>
  <si>
    <t>Calendar months before the hearing month; consider earlier prep separately.</t>
  </si>
  <si>
    <t>Assumption validation</t>
  </si>
  <si>
    <t>Keep this teaching template at 24 months. Change range formulas to expand the horizon.</t>
  </si>
  <si>
    <t>Initial/recon 188/212 days seed a broad resolution-endpoint scenario, not asserted pure medical decision duration. Same endpoint is a denial-notice proxy for continued appeals or claimant-payment/resolution proxy for early awards. Early fee cash adds only an explicit 1-month representative-fee offset from this endpoint, not an additional full award-to-benefit-payment lag. This offset is illustrative and requires matched firm calibration. Hearing path separately adds 1 month hearing-to-decision and 2 months decision-to-representative-fee.</t>
  </si>
  <si>
    <t>All rates, fees, continuation, payment timing and capacity values are synthetic illustrations. They are not estimates of any firm. Edit matched history for rates/fees, and the blue cells for other drivers.</t>
  </si>
  <si>
    <t>Case paths | conditional on the current stage</t>
  </si>
  <si>
    <t>Case ID</t>
  </si>
  <si>
    <t>Current stage</t>
  </si>
  <si>
    <t>Input status</t>
  </si>
  <si>
    <t>Office wait months</t>
  </si>
  <si>
    <t>Stage age days</t>
  </si>
  <si>
    <t>Benchmark current event</t>
  </si>
  <si>
    <t>Timing status</t>
  </si>
  <si>
    <t>Current event used</t>
  </si>
  <si>
    <t>Recon endpoint</t>
  </si>
  <si>
    <t>Hearing request</t>
  </si>
  <si>
    <t>Hearing held</t>
  </si>
  <si>
    <t>Hearing decision</t>
  </si>
  <si>
    <t>Initial win weight</t>
  </si>
  <si>
    <t>Recon win weight</t>
  </si>
  <si>
    <t>Hearing weight</t>
  </si>
  <si>
    <t>Initial stop weight</t>
  </si>
  <si>
    <t>Recon stop weight</t>
  </si>
  <si>
    <t>Hearing win weight</t>
  </si>
  <si>
    <t>Hearing loss weight</t>
  </si>
  <si>
    <t>Terminal mass</t>
  </si>
  <si>
    <t>Initial fee date</t>
  </si>
  <si>
    <t>Recon fee date</t>
  </si>
  <si>
    <t>Hearing fee date</t>
  </si>
  <si>
    <t>Every award path → dated expected fee cash</t>
  </si>
  <si>
    <t>Award stage</t>
  </si>
  <si>
    <t>Horizon bucket</t>
  </si>
  <si>
    <t>Normalized current caseload</t>
  </si>
  <si>
    <t>Paste VALUES into A6:H205 only. 200-case limit. Clear old input values, keep formulas. One latest snapshot per pseudonymous case. See Read Me.</t>
  </si>
  <si>
    <t>case_id</t>
  </si>
  <si>
    <t>observed_as_of</t>
  </si>
  <si>
    <t>stage</t>
  </si>
  <si>
    <t>stage_start</t>
  </si>
  <si>
    <t>hearing_office_code</t>
  </si>
  <si>
    <t>scheduled_hearing</t>
  </si>
  <si>
    <t>reviewed_current_event</t>
  </si>
  <si>
    <t>notes</t>
  </si>
  <si>
    <t>Validation</t>
  </si>
  <si>
    <t>5105</t>
  </si>
  <si>
    <t>Synthetic example; not a real claimant.</t>
  </si>
  <si>
    <t>I-002</t>
  </si>
  <si>
    <t>I-003</t>
  </si>
  <si>
    <t>I-004</t>
  </si>
  <si>
    <t>I-005</t>
  </si>
  <si>
    <t>I-006</t>
  </si>
  <si>
    <t>I-007</t>
  </si>
  <si>
    <t>I-008</t>
  </si>
  <si>
    <t>I-009</t>
  </si>
  <si>
    <t>I-010</t>
  </si>
  <si>
    <t>I-011</t>
  </si>
  <si>
    <t>I-012</t>
  </si>
  <si>
    <t>I-013</t>
  </si>
  <si>
    <t>I-014</t>
  </si>
  <si>
    <t>I-015</t>
  </si>
  <si>
    <t>I-016</t>
  </si>
  <si>
    <t>I-017</t>
  </si>
  <si>
    <t>I-018</t>
  </si>
  <si>
    <t>I-019</t>
  </si>
  <si>
    <t>I-020</t>
  </si>
  <si>
    <t>I-021</t>
  </si>
  <si>
    <t>I-022</t>
  </si>
  <si>
    <t>I-023</t>
  </si>
  <si>
    <t>I-024</t>
  </si>
  <si>
    <t>I-025</t>
  </si>
  <si>
    <t>R-001</t>
  </si>
  <si>
    <t>R-002</t>
  </si>
  <si>
    <t>R-003</t>
  </si>
  <si>
    <t>R-004</t>
  </si>
  <si>
    <t>R-005</t>
  </si>
  <si>
    <t>R-006</t>
  </si>
  <si>
    <t>R-007</t>
  </si>
  <si>
    <t>R-008</t>
  </si>
  <si>
    <t>R-009</t>
  </si>
  <si>
    <t>R-010</t>
  </si>
  <si>
    <t>R-011</t>
  </si>
  <si>
    <t>R-012</t>
  </si>
  <si>
    <t>R-013</t>
  </si>
  <si>
    <t>R-014</t>
  </si>
  <si>
    <t>R-015</t>
  </si>
  <si>
    <t>R-016</t>
  </si>
  <si>
    <t>R-017</t>
  </si>
  <si>
    <t>R-018</t>
  </si>
  <si>
    <t>R-019</t>
  </si>
  <si>
    <t>R-020</t>
  </si>
  <si>
    <t>R-021</t>
  </si>
  <si>
    <t>R-022</t>
  </si>
  <si>
    <t>R-023</t>
  </si>
  <si>
    <t>R-024</t>
  </si>
  <si>
    <t>R-025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</si>
  <si>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</si>
  <si>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</si>
  <si>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</si>
  <si>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</si>
  <si>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</si>
  <si>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</si>
  <si>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</si>
  <si>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</si>
  <si>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</si>
  <si>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</si>
  <si>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A-011</t>
  </si>
  <si>
    <t>A-012</t>
  </si>
  <si>
    <t>A-013</t>
  </si>
  <si>
    <t>A-014</t>
  </si>
  <si>
    <t>A-015</t>
  </si>
  <si>
    <t>A-016</t>
  </si>
  <si>
    <t>A-017</t>
  </si>
  <si>
    <t>A-018</t>
  </si>
  <si>
    <t>A-019</t>
  </si>
  <si>
    <t>A-020</t>
  </si>
  <si>
    <t>A-021</t>
  </si>
  <si>
    <t>A-022</t>
  </si>
  <si>
    <t>A-023</t>
  </si>
  <si>
    <t>A-024</t>
  </si>
  <si>
    <t>A-025</t>
  </si>
  <si>
    <t>A-026</t>
  </si>
  <si>
    <t>A-027</t>
  </si>
  <si>
    <t>A-028</t>
  </si>
  <si>
    <t>A-029</t>
  </si>
  <si>
    <t>A-030</t>
  </si>
  <si>
    <t>O-001</t>
  </si>
  <si>
    <t>Synthetic overdue case; global future-window scenario applies.</t>
  </si>
  <si>
    <t>O-002</t>
  </si>
  <si>
    <t>O-003</t>
  </si>
  <si>
    <t>O-004</t>
  </si>
  <si>
    <t>O-005</t>
  </si>
  <si>
    <t>O-006</t>
  </si>
  <si>
    <t>O-007</t>
  </si>
  <si>
    <t>O-008</t>
  </si>
  <si>
    <t>O-009</t>
  </si>
  <si>
    <t>O-010</t>
  </si>
  <si>
    <t>S-001</t>
  </si>
  <si>
    <t>S-002</t>
  </si>
  <si>
    <t>S-003</t>
  </si>
  <si>
    <t>S-004</t>
  </si>
  <si>
    <t>S-005</t>
  </si>
  <si>
    <t>S-006</t>
  </si>
  <si>
    <t>S-007</t>
  </si>
  <si>
    <t>S-008</t>
  </si>
  <si>
    <t>S-009</t>
  </si>
  <si>
    <t>S-010</t>
  </si>
  <si>
    <t>Capacity: 200 rows. Inputs beyond row205 are NOT modeled. Check overflow on Forecast review.</t>
  </si>
  <si>
    <t>Matched resolved history | entirely synthetic</t>
  </si>
  <si>
    <t>One case + resolved stage per row; sum net fees across programs/installments first. Include mature zero-fee favorable cases. No SSNs or claimant names. 300-row limit.</t>
  </si>
  <si>
    <t>history_case_id</t>
  </si>
  <si>
    <t>resolution_date</t>
  </si>
  <si>
    <t>outcome</t>
  </si>
  <si>
    <t>net_fee_total</t>
  </si>
  <si>
    <t>followup_end</t>
  </si>
  <si>
    <t>fee_complete</t>
  </si>
  <si>
    <t>Stage</t>
  </si>
  <si>
    <t>Resolved cases</t>
  </si>
  <si>
    <t>Favorable cases</t>
  </si>
  <si>
    <t>H-INITIAL-01</t>
  </si>
  <si>
    <t>FAVORABLE</t>
  </si>
  <si>
    <t>YES</t>
  </si>
  <si>
    <t>Synthetic mature matched history; favorable zero is retained.</t>
  </si>
  <si>
    <t>H-INITIAL-02</t>
  </si>
  <si>
    <t>H-INITIAL-03</t>
  </si>
  <si>
    <t>H-INITIAL-04</t>
  </si>
  <si>
    <t>OTHER</t>
  </si>
  <si>
    <t>H-INITIAL-05</t>
  </si>
  <si>
    <t>H-INITIAL-06</t>
  </si>
  <si>
    <t>Teaching sample: 20 resolved cases per stage. Initial: 3 favorable, $6,000 net. Recon: 4 favorable, $12,000 net. Hearing: 11 favorable, $49,500 net; one favorable has a completed $0 fee. All follow-up completed by Nov 1, 2025. Small synthetic samples are not validated firm estimates.</t>
  </si>
  <si>
    <t>H-INITIAL-07</t>
  </si>
  <si>
    <t>H-INITIAL-08</t>
  </si>
  <si>
    <t>H-INITIAL-09</t>
  </si>
  <si>
    <t>H-INITIAL-10</t>
  </si>
  <si>
    <t>H-INITIAL-11</t>
  </si>
  <si>
    <t>H-INITIAL-12</t>
  </si>
  <si>
    <t>H-INITIAL-13</t>
  </si>
  <si>
    <t>H-INITIAL-14</t>
  </si>
  <si>
    <t>H-INITIAL-15</t>
  </si>
  <si>
    <t>H-INITIAL-16</t>
  </si>
  <si>
    <t>H-INITIAL-17</t>
  </si>
  <si>
    <t>H-INITIAL-18</t>
  </si>
  <si>
    <t>H-INITIAL-19</t>
  </si>
  <si>
    <t>H-INITIAL-20</t>
  </si>
  <si>
    <t>H-RECON-01</t>
  </si>
  <si>
    <t>H-RECON-02</t>
  </si>
  <si>
    <t>H-RECON-03</t>
  </si>
  <si>
    <t>H-RECON-04</t>
  </si>
  <si>
    <t>H-RECON-05</t>
  </si>
  <si>
    <t>H-RECON-06</t>
  </si>
  <si>
    <t>H-RECON-07</t>
  </si>
  <si>
    <t>H-RECON-08</t>
  </si>
  <si>
    <t>H-RECON-09</t>
  </si>
  <si>
    <t>H-RECON-10</t>
  </si>
  <si>
    <t>H-RECON-11</t>
  </si>
  <si>
    <t>H-RECON-12</t>
  </si>
  <si>
    <t>H-RECON-13</t>
  </si>
  <si>
    <t>H-RECON-14</t>
  </si>
  <si>
    <t>H-RECON-15</t>
  </si>
  <si>
    <t>H-RECON-16</t>
  </si>
  <si>
    <t>H-RECON-17</t>
  </si>
  <si>
    <t>H-RECON-18</t>
  </si>
  <si>
    <t>H-RECON-19</t>
  </si>
  <si>
    <t>H-RECON-20</t>
  </si>
  <si>
    <t>H-HEARING-01</t>
  </si>
  <si>
    <t>H-HEARING-02</t>
  </si>
  <si>
    <t>H-HEARING-03</t>
  </si>
  <si>
    <t>H-HEARING-04</t>
  </si>
  <si>
    <t>H-HEARING-05</t>
  </si>
  <si>
    <t>H-HEARING-06</t>
  </si>
  <si>
    <t>H-HEARING-07</t>
  </si>
  <si>
    <t>H-HEARING-08</t>
  </si>
  <si>
    <t>H-HEARING-09</t>
  </si>
  <si>
    <t>H-HEARING-10</t>
  </si>
  <si>
    <t>H-HEARING-11</t>
  </si>
  <si>
    <t>H-HEARING-12</t>
  </si>
  <si>
    <t>H-HEARING-13</t>
  </si>
  <si>
    <t>H-HEARING-14</t>
  </si>
  <si>
    <t>H-HEARING-15</t>
  </si>
  <si>
    <t>H-HEARING-16</t>
  </si>
  <si>
    <t>H-HEARING-17</t>
  </si>
  <si>
    <t>H-HEARING-18</t>
  </si>
  <si>
    <t>H-HEARING-19</t>
  </si>
  <si>
    <t>H-HEARING-20</t>
  </si>
  <si>
    <t>Public timing baselines | August 2026</t>
  </si>
  <si>
    <t>Office code</t>
  </si>
  <si>
    <t>Hearing office</t>
  </si>
  <si>
    <t>Wait (months)</t>
  </si>
  <si>
    <t>Data month</t>
  </si>
  <si>
    <t>Published</t>
  </si>
  <si>
    <t>National initial</t>
  </si>
  <si>
    <t>5134</t>
  </si>
  <si>
    <t>MANCHESTER</t>
  </si>
  <si>
    <t>2026-08</t>
  </si>
  <si>
    <t>2026-09-22</t>
  </si>
  <si>
    <t>National reconsideration</t>
  </si>
  <si>
    <t>PROVIDENCE</t>
  </si>
  <si>
    <t>Unit</t>
  </si>
  <si>
    <t>Calendar days</t>
  </si>
  <si>
    <t>5019</t>
  </si>
  <si>
    <t>HARTFORD</t>
  </si>
  <si>
    <t>August 2026</t>
  </si>
  <si>
    <t>5018</t>
  </si>
  <si>
    <t>BOSTON</t>
  </si>
  <si>
    <t>Performance page updated</t>
  </si>
  <si>
    <t>October 1, 2026</t>
  </si>
  <si>
    <t>5295</t>
  </si>
  <si>
    <t>LAWRENCE MA</t>
  </si>
  <si>
    <t>5305</t>
  </si>
  <si>
    <t>SPRINGFIELD MA</t>
  </si>
  <si>
    <t>National source: https://www.ssa.gov/ssa-performance</t>
  </si>
  <si>
    <t>5182</t>
  </si>
  <si>
    <t>PORTLAND ME</t>
  </si>
  <si>
    <t>5302</t>
  </si>
  <si>
    <t>NEW HAVEN</t>
  </si>
  <si>
    <t>5308</t>
  </si>
  <si>
    <t>NEW YORK VARICK</t>
  </si>
  <si>
    <t>Initial definition: https://www.ssa.gov/data/Combined-Disability-Processing-Time.html</t>
  </si>
  <si>
    <t>5023</t>
  </si>
  <si>
    <t>BUFFALO</t>
  </si>
  <si>
    <t>5020</t>
  </si>
  <si>
    <t>NEW YORK</t>
  </si>
  <si>
    <t>5310</t>
  </si>
  <si>
    <t>LONG ISLAND</t>
  </si>
  <si>
    <t>Recon definition: https://www.ssa.gov/data/disability_reconsideration_average_processing_time.html</t>
  </si>
  <si>
    <t>5021</t>
  </si>
  <si>
    <t>QUEENS</t>
  </si>
  <si>
    <t>5024</t>
  </si>
  <si>
    <t>ALBANY</t>
  </si>
  <si>
    <t>5391</t>
  </si>
  <si>
    <t>JERSEY CITY</t>
  </si>
  <si>
    <t>Office XML: https://www.ssa.gov/appeals/DataSets/01_NetStat_Report.xml</t>
  </si>
  <si>
    <t>5200</t>
  </si>
  <si>
    <t>BRONX</t>
  </si>
  <si>
    <t>5092</t>
  </si>
  <si>
    <t>ROCHESTER</t>
  </si>
  <si>
    <t>5028</t>
  </si>
  <si>
    <t>SAN JUAN</t>
  </si>
  <si>
    <t>Office definition: https://www.ssa.gov/appeals/DataSets/01_NetStat_Report.html</t>
  </si>
  <si>
    <t>5110</t>
  </si>
  <si>
    <t>SYRACUSE</t>
  </si>
  <si>
    <t>5312</t>
  </si>
  <si>
    <t>NEWARK</t>
  </si>
  <si>
    <t>5108</t>
  </si>
  <si>
    <t>SOUTH JERSEY</t>
  </si>
  <si>
    <t>5035</t>
  </si>
  <si>
    <t>PHILADELPHIA</t>
  </si>
  <si>
    <t>Office timing is request to hearing held for closed cases with hearings held in the reporting month. It is not hearing request to decision.</t>
  </si>
  <si>
    <t>5037</t>
  </si>
  <si>
    <t>WILKES BARRE</t>
  </si>
  <si>
    <t>5321</t>
  </si>
  <si>
    <t>NORFOLK</t>
  </si>
  <si>
    <t>5322</t>
  </si>
  <si>
    <t>SEVEN FIELDS</t>
  </si>
  <si>
    <t>5033</t>
  </si>
  <si>
    <t>ROANOKE</t>
  </si>
  <si>
    <t>The initial/recon open-data definitions run filing through payment or denial, including work outside DDS. Their exact crosswalk to the current performance charts is unverified.</t>
  </si>
  <si>
    <t>5252</t>
  </si>
  <si>
    <t>PHILADELPHIA EAST</t>
  </si>
  <si>
    <t>5029</t>
  </si>
  <si>
    <t>WASHINGTON</t>
  </si>
  <si>
    <t>5320</t>
  </si>
  <si>
    <t>HARRISBURG</t>
  </si>
  <si>
    <t>5136</t>
  </si>
  <si>
    <t>ELKINS PARK</t>
  </si>
  <si>
    <t>5112</t>
  </si>
  <si>
    <t>JOHNSTOWN</t>
  </si>
  <si>
    <t>Model choice: use the national figures as explicit broad resolution proxies. Early-fee timing adds only an illustrative representative-fee offset. Do not describe these as pure DDS medical durations or conditional residual waits.</t>
  </si>
  <si>
    <t>5253</t>
  </si>
  <si>
    <t>MORGANTOWN</t>
  </si>
  <si>
    <t>5103</t>
  </si>
  <si>
    <t>CHARLOTTESVILLE</t>
  </si>
  <si>
    <t>5104</t>
  </si>
  <si>
    <t>DOVER</t>
  </si>
  <si>
    <t>5030</t>
  </si>
  <si>
    <t>BALTIMORE</t>
  </si>
  <si>
    <t>5031</t>
  </si>
  <si>
    <t>HUNTINGTON WV</t>
  </si>
  <si>
    <t>5036</t>
  </si>
  <si>
    <t>PITTSBURGH</t>
  </si>
  <si>
    <t>Retrieved October 6, 2026. Office file: report 08/2026, created 09/22/2026, 159 records. Demo joins exact office code 5105, PROVIDENCE, 8.0 months. No fuzzy office matching or national fallback.</t>
  </si>
  <si>
    <t>5026</t>
  </si>
  <si>
    <t>CHARLESTON WV</t>
  </si>
  <si>
    <t>5034</t>
  </si>
  <si>
    <t>RICHMOND</t>
  </si>
  <si>
    <t>5052</t>
  </si>
  <si>
    <t>CHARLOTTE</t>
  </si>
  <si>
    <t>5091</t>
  </si>
  <si>
    <t>ATLANTA NORTH</t>
  </si>
  <si>
    <t>5027</t>
  </si>
  <si>
    <t>LOUISVILLE</t>
  </si>
  <si>
    <t>5032</t>
  </si>
  <si>
    <t>LEXINGTON</t>
  </si>
  <si>
    <t>5385</t>
  </si>
  <si>
    <t>FAYETTEVILLE NC</t>
  </si>
  <si>
    <t>5041</t>
  </si>
  <si>
    <t>JACKSON MS OHO</t>
  </si>
  <si>
    <t>5372</t>
  </si>
  <si>
    <t>ST PETERSBURG FL OHO</t>
  </si>
  <si>
    <t>5245</t>
  </si>
  <si>
    <t>TUPELO</t>
  </si>
  <si>
    <t>5046</t>
  </si>
  <si>
    <t>COLUMBIA SC</t>
  </si>
  <si>
    <t>5139</t>
  </si>
  <si>
    <t>MONTGOMERY</t>
  </si>
  <si>
    <t>5138</t>
  </si>
  <si>
    <t>KINGSPORT</t>
  </si>
  <si>
    <t>5051</t>
  </si>
  <si>
    <t>TAMPA OHO</t>
  </si>
  <si>
    <t>5140</t>
  </si>
  <si>
    <t>PADUCAH</t>
  </si>
  <si>
    <t>5113</t>
  </si>
  <si>
    <t>CHARLESTON SC</t>
  </si>
  <si>
    <t>5053</t>
  </si>
  <si>
    <t>RALEIGH</t>
  </si>
  <si>
    <t>5039</t>
  </si>
  <si>
    <t>ATLANTA DOWNTOWN</t>
  </si>
  <si>
    <t>5106</t>
  </si>
  <si>
    <t>COVINGTON GA</t>
  </si>
  <si>
    <t>5117</t>
  </si>
  <si>
    <t>MACON</t>
  </si>
  <si>
    <t>5040</t>
  </si>
  <si>
    <t>BIRMINGHAM</t>
  </si>
  <si>
    <t>5115</t>
  </si>
  <si>
    <t>FLORENCE</t>
  </si>
  <si>
    <t>5116</t>
  </si>
  <si>
    <t>GREENSBORO</t>
  </si>
  <si>
    <t>5045</t>
  </si>
  <si>
    <t>ORLANDO</t>
  </si>
  <si>
    <t>5048</t>
  </si>
  <si>
    <t>GREENVILLE</t>
  </si>
  <si>
    <t>5044</t>
  </si>
  <si>
    <t>NASHVILLE</t>
  </si>
  <si>
    <t>5137</t>
  </si>
  <si>
    <t>HATTIESBURG</t>
  </si>
  <si>
    <t>5042</t>
  </si>
  <si>
    <t>KNOXVILLE</t>
  </si>
  <si>
    <t>5383</t>
  </si>
  <si>
    <t>FRANKLIN TN</t>
  </si>
  <si>
    <t>5043</t>
  </si>
  <si>
    <t>MIAMI OHO</t>
  </si>
  <si>
    <t>5094</t>
  </si>
  <si>
    <t>MEMPHIS</t>
  </si>
  <si>
    <t>5049</t>
  </si>
  <si>
    <t>JACKSONVILLE</t>
  </si>
  <si>
    <t>5047</t>
  </si>
  <si>
    <t>CHATTANOOGA</t>
  </si>
  <si>
    <t>5175</t>
  </si>
  <si>
    <t>MIDDLESBORO</t>
  </si>
  <si>
    <t>5204</t>
  </si>
  <si>
    <t>SAVANNAH</t>
  </si>
  <si>
    <t>5381</t>
  </si>
  <si>
    <t>FORT MYERS FL</t>
  </si>
  <si>
    <t>5050</t>
  </si>
  <si>
    <t>MOBILE</t>
  </si>
  <si>
    <t>5199</t>
  </si>
  <si>
    <t>FT LAUDERDALE</t>
  </si>
  <si>
    <t>5390</t>
  </si>
  <si>
    <t>TALLAHASSEE FL OHO</t>
  </si>
  <si>
    <t>5056</t>
  </si>
  <si>
    <t>CINCINNATI</t>
  </si>
  <si>
    <t>5387</t>
  </si>
  <si>
    <t>TOLEDO OH</t>
  </si>
  <si>
    <t>5365</t>
  </si>
  <si>
    <t>VALPARAISO IN</t>
  </si>
  <si>
    <t>5121</t>
  </si>
  <si>
    <t>FORT WAYNE</t>
  </si>
  <si>
    <t>5141</t>
  </si>
  <si>
    <t>OAK PARK</t>
  </si>
  <si>
    <t>5119</t>
  </si>
  <si>
    <t>EVANSVILLE</t>
  </si>
  <si>
    <t>5061</t>
  </si>
  <si>
    <t>INDIANAPOLIS</t>
  </si>
  <si>
    <t>5380</t>
  </si>
  <si>
    <t>AKRON OH</t>
  </si>
  <si>
    <t>5060</t>
  </si>
  <si>
    <t>COLUMBUS</t>
  </si>
  <si>
    <t>5202</t>
  </si>
  <si>
    <t>GRAND RAPIDS</t>
  </si>
  <si>
    <t>5120</t>
  </si>
  <si>
    <t>FLINT</t>
  </si>
  <si>
    <t>5118</t>
  </si>
  <si>
    <t>EVANSTON</t>
  </si>
  <si>
    <t>5065</t>
  </si>
  <si>
    <t>MINNEAPOLIS</t>
  </si>
  <si>
    <t>5398</t>
  </si>
  <si>
    <t>LIVONIA MI</t>
  </si>
  <si>
    <t>5122</t>
  </si>
  <si>
    <t>PEORIA</t>
  </si>
  <si>
    <t>5201</t>
  </si>
  <si>
    <t>DAYTON</t>
  </si>
  <si>
    <t>5057</t>
  </si>
  <si>
    <t>CLEVELAND</t>
  </si>
  <si>
    <t>5095</t>
  </si>
  <si>
    <t>LANSING</t>
  </si>
  <si>
    <t>5059</t>
  </si>
  <si>
    <t>MILWAUKEE</t>
  </si>
  <si>
    <t>5062</t>
  </si>
  <si>
    <t>CHICAGO</t>
  </si>
  <si>
    <t>5055</t>
  </si>
  <si>
    <t>ORLAND PARK</t>
  </si>
  <si>
    <t>5189</t>
  </si>
  <si>
    <t>MADISON</t>
  </si>
  <si>
    <t>5058</t>
  </si>
  <si>
    <t>DETROIT</t>
  </si>
  <si>
    <t>5208</t>
  </si>
  <si>
    <t>OAK BROOK</t>
  </si>
  <si>
    <t>5373</t>
  </si>
  <si>
    <t>MT PLEASANT MI</t>
  </si>
  <si>
    <t>5074</t>
  </si>
  <si>
    <t>OKLAHOMA CITY</t>
  </si>
  <si>
    <t>5071</t>
  </si>
  <si>
    <t>HOUSTON WEST</t>
  </si>
  <si>
    <t>5075</t>
  </si>
  <si>
    <t>ALEXANDRIA</t>
  </si>
  <si>
    <t>5374</t>
  </si>
  <si>
    <t>RIO GRANDE VALLEY TX</t>
  </si>
  <si>
    <t>5143</t>
  </si>
  <si>
    <t>TULSA OHO</t>
  </si>
  <si>
    <t>5254</t>
  </si>
  <si>
    <t>METAIRIE</t>
  </si>
  <si>
    <t>5076</t>
  </si>
  <si>
    <t>FORT WORTH</t>
  </si>
  <si>
    <t>5125</t>
  </si>
  <si>
    <t>SAN ANTONIO</t>
  </si>
  <si>
    <t>5072</t>
  </si>
  <si>
    <t>LITTLE ROCK</t>
  </si>
  <si>
    <t>5181</t>
  </si>
  <si>
    <t>DALLAS NORTH OHO</t>
  </si>
  <si>
    <t>5124</t>
  </si>
  <si>
    <t>FORT SMITH</t>
  </si>
  <si>
    <t>5073</t>
  </si>
  <si>
    <t>NEW ORLEANS</t>
  </si>
  <si>
    <t>5070</t>
  </si>
  <si>
    <t>DALLAS DOWNTOWN</t>
  </si>
  <si>
    <t>5077</t>
  </si>
  <si>
    <t>ALBUQUERQUE</t>
  </si>
  <si>
    <t>5255</t>
  </si>
  <si>
    <t>HOUSTON NORTH</t>
  </si>
  <si>
    <t>5153</t>
  </si>
  <si>
    <t>SHREVEPORT</t>
  </si>
  <si>
    <t>5066</t>
  </si>
  <si>
    <t>OMAHA</t>
  </si>
  <si>
    <t>5067</t>
  </si>
  <si>
    <t>ST LOUIS</t>
  </si>
  <si>
    <t>5375</t>
  </si>
  <si>
    <t>COLUMBIA MO</t>
  </si>
  <si>
    <t>5068</t>
  </si>
  <si>
    <t>DES MOINES</t>
  </si>
  <si>
    <t>5389</t>
  </si>
  <si>
    <t>TOPEKA KS</t>
  </si>
  <si>
    <t>5064</t>
  </si>
  <si>
    <t>KANSAS CITY</t>
  </si>
  <si>
    <t>5127</t>
  </si>
  <si>
    <t>WICHITA</t>
  </si>
  <si>
    <t>5224</t>
  </si>
  <si>
    <t>SPRINGFIELD MO</t>
  </si>
  <si>
    <t>5376</t>
  </si>
  <si>
    <t>BILLINGS</t>
  </si>
  <si>
    <t>5079</t>
  </si>
  <si>
    <t>DENVER</t>
  </si>
  <si>
    <t>5167</t>
  </si>
  <si>
    <t>COLORADO SPRINGS</t>
  </si>
  <si>
    <t>5128</t>
  </si>
  <si>
    <t>FARGO</t>
  </si>
  <si>
    <t>5145</t>
  </si>
  <si>
    <t>SALT LAKE CITY</t>
  </si>
  <si>
    <t>5388</t>
  </si>
  <si>
    <t>PHOENIX NORTH</t>
  </si>
  <si>
    <t>5097</t>
  </si>
  <si>
    <t>SAN BERNARDINO</t>
  </si>
  <si>
    <t>5130</t>
  </si>
  <si>
    <t>PASADENA</t>
  </si>
  <si>
    <t>5382</t>
  </si>
  <si>
    <t>SACRAMENTO</t>
  </si>
  <si>
    <t>5377</t>
  </si>
  <si>
    <t>RENO</t>
  </si>
  <si>
    <t>5148</t>
  </si>
  <si>
    <t>TUCSON</t>
  </si>
  <si>
    <t>5087</t>
  </si>
  <si>
    <t>LAS VEGAS</t>
  </si>
  <si>
    <t>5193</t>
  </si>
  <si>
    <t>SANTA BARBARA</t>
  </si>
  <si>
    <t>5257</t>
  </si>
  <si>
    <t>STOCKTON</t>
  </si>
  <si>
    <t>5100</t>
  </si>
  <si>
    <t>FRESNO</t>
  </si>
  <si>
    <t>5096</t>
  </si>
  <si>
    <t>HONOLULU</t>
  </si>
  <si>
    <t>5090</t>
  </si>
  <si>
    <t>NORWALK</t>
  </si>
  <si>
    <t>5081</t>
  </si>
  <si>
    <t>PHOENIX DOWNTOWN</t>
  </si>
  <si>
    <t>5080</t>
  </si>
  <si>
    <t>LOS ANGELES WEST</t>
  </si>
  <si>
    <t>5085</t>
  </si>
  <si>
    <t>LONG BEACH</t>
  </si>
  <si>
    <t>5131</t>
  </si>
  <si>
    <t>SAN RAFAEL</t>
  </si>
  <si>
    <t>5129</t>
  </si>
  <si>
    <t>OAKLAND</t>
  </si>
  <si>
    <t>5379</t>
  </si>
  <si>
    <t>LOS ANGELES DOWNTOWN</t>
  </si>
  <si>
    <t>5101</t>
  </si>
  <si>
    <t>SAN JOSE</t>
  </si>
  <si>
    <t>5086</t>
  </si>
  <si>
    <t>SAN DIEGO</t>
  </si>
  <si>
    <t>5083</t>
  </si>
  <si>
    <t>SAN FRANCISCO</t>
  </si>
  <si>
    <t>5147</t>
  </si>
  <si>
    <t>ORANGE</t>
  </si>
  <si>
    <t>5392</t>
  </si>
  <si>
    <t>MORENO VALLEY</t>
  </si>
  <si>
    <t>5149</t>
  </si>
  <si>
    <t>EUGENE</t>
  </si>
  <si>
    <t>5082</t>
  </si>
  <si>
    <t>PORTLAND OR</t>
  </si>
  <si>
    <t>5084</t>
  </si>
  <si>
    <t>SEATTLE</t>
  </si>
  <si>
    <t>5132</t>
  </si>
  <si>
    <t>SPOKANE</t>
  </si>
  <si>
    <t>5371</t>
  </si>
  <si>
    <t>TACOMA</t>
  </si>
  <si>
    <t>OTH</t>
  </si>
  <si>
    <t>SPECIAL REVIEW CADRE</t>
  </si>
  <si>
    <t>Reconciliation and data review</t>
  </si>
  <si>
    <t>Check</t>
  </si>
  <si>
    <t>Difference / count</t>
  </si>
  <si>
    <t>Expected</t>
  </si>
  <si>
    <t>Interpretation</t>
  </si>
  <si>
    <t>Input rows = valid + excluded</t>
  </si>
  <si>
    <t>Input rows are current-case rows after manual latest-snapshot normalization.</t>
  </si>
  <si>
    <t>Valid cases = terminal branch mass</t>
  </si>
  <si>
    <t>Initial/recon favorable + stopped + hearing favorable/unfavorable.</t>
  </si>
  <si>
    <t>Hearing mass = early wins + stops + hearing</t>
  </si>
  <si>
    <t>Reaching hearing is intermediate; do not add its wins/losses twice.</t>
  </si>
  <si>
    <t>Hearings = dated + beyond horizon</t>
  </si>
  <si>
    <t>Overdue future-window cases must be included in the same date chain.</t>
  </si>
  <si>
    <t>Cash = horizon + tail + pre-as-of</t>
  </si>
  <si>
    <t>Every expected fee branch is retained. Tail is not lost fees.</t>
  </si>
  <si>
    <t>Initial cash = initial favorable × fee</t>
  </si>
  <si>
    <t>Includes all valid current INITIAL cases.</t>
  </si>
  <si>
    <t>Recon cash = recon favorable × fee</t>
  </si>
  <si>
    <t>Includes later recon awards from today’s INITIAL cases.</t>
  </si>
  <si>
    <t>Hearing cash = hearing favorable × fee</t>
  </si>
  <si>
    <t>Hearing decision and fee delays are separate.</t>
  </si>
  <si>
    <t>Excluded current cases</t>
  </si>
  <si>
    <t>Review Case inputs and assumptions. Excluded rows are not assigned zero-valued forecasts.</t>
  </si>
  <si>
    <t>Invalid matched history rows</t>
  </si>
  <si>
    <t>Invalid records do not enter calibrated rates or fees.</t>
  </si>
  <si>
    <t>Current-input overflow (rows206:1000)</t>
  </si>
  <si>
    <t>One instruction occupies A208; anything else beyond supported rows must be moved/reviewed.</t>
  </si>
  <si>
    <t>History overflow (rows306:1000)</t>
  </si>
  <si>
    <t>Expand connected ranges before adding more than300 history records.</t>
  </si>
  <si>
    <t>Pre-as-of forecast fees</t>
  </si>
  <si>
    <t>No forecast fee should be placed before the frozen as-of.</t>
  </si>
  <si>
    <t>Review is terminal: nothing in the forecast depends on this sheet. Numerical equality verifies internal bookkeeping, not forecast accuracy. Back-test with historical as-of snapshots before operational reliance.</t>
  </si>
  <si>
    <t>Change Assumptions B18 from 0 to 2 to move only unscheduled hearings two months later. Workload and hearing cash move together; scheduled dates and early-award cash stay fixed. Inspect horizon tails. The forecast prompt at chroniclelegal.com/playbook implements the same calculation.</t>
  </si>
  <si>
    <t>Verification: recalculated in Microsoft Excel on October 7, 2026. Every Forecast review check returns 0, and the totals match section 8 of the forecast prompt. When using your own data, choose a valid INITIAL case ID in Worked initial case B5.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</si>
</sst>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m\ d\,\ yyyy"/>
    <numFmt numFmtId="165" formatCode="0.0%"/>
    <numFmt numFmtId="166" formatCode="\$#,##0.00;\(\$#,##0.00\);&quot;–&quot;"/>
    <numFmt numFmtId="167" formatCode="0.00000"/>
    <numFmt numFmtId="168" formatCode="#,##0.00;\(#,##0.00\);&quot;–&quot;"/>
    <numFmt numFmtId="169" formatCode="0.000000"/>
  </numFmts>
  <fonts count="11">
    <font>
      <sz val="11"/>
      <name val="Carlito"/>
    </font>
    <font>
      <sz val="10"/>
      <name val="Arial"/>
      <family val="2"/>
    </font>
    <font>
      <b/>
      <sz val="16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244FB0"/>
      <name val="Arial"/>
      <family val="2"/>
    </font>
    <font>
      <sz val="10"/>
      <color rgb="FF5A6A7B"/>
      <name val="Arial"/>
      <family val="2"/>
    </font>
    <font>
      <sz val="10"/>
      <color rgb="FF137749"/>
      <name val="Arial"/>
      <family val="2"/>
    </font>
    <font>
      <sz val="10"/>
      <color rgb="FF172A3B"/>
      <name val="Arial"/>
      <family val="2"/>
    </font>
    <font>
      <b/>
      <sz val="10"/>
      <name val="Arial"/>
      <family val="2"/>
    </font>
    <font>
      <sz val="11"/>
      <color rgb="FF5A6A7B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3CE"/>
      </patternFill>
    </fill>
    <fill>
      <patternFill patternType="solid">
        <fgColor rgb="FFEEF3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164" fontId="5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1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6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8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7" fontId="1" fillId="0" borderId="0" xfId="0" applyNumberFormat="1" applyFont="1" applyAlignment="1">
      <alignment vertical="center"/>
    </xf>
    <xf numFmtId="168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3">
    <dxf>
      <font>
        <b/>
        <color rgb="FF9B1C20"/>
      </font>
      <fill>
        <patternFill patternType="solid">
          <bgColor rgb="FFFCE8E6"/>
        </patternFill>
      </fill>
    </dxf>
    <dxf>
      <font>
        <color rgb="FF9B1C20"/>
      </font>
      <fill>
        <patternFill patternType="solid">
          <bgColor rgb="FFFCE8E6"/>
        </patternFill>
      </fill>
    </dxf>
    <dxf>
      <font>
        <b/>
        <color rgb="FF8A5000"/>
      </font>
      <fill>
        <patternFill patternType="solid">
          <bgColor rgb="FFFFF3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Expected hearings by month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hearings</c:v>
          </c:tx>
          <c:spPr>
            <a:solidFill>
              <a:srgbClr val="17324D"/>
            </a:solidFill>
          </c:spPr>
          <c:invertIfNegative val="1"/>
          <c:cat>
            <c:strRef>
              <c:f>Forecast!$O$14:$O$37</c:f>
              <c:strCache>
                <c:ptCount val="24"/>
                <c:pt idx="0">
                  <c:v>Oct-26</c:v>
                </c:pt>
                <c:pt idx="1">
                  <c:v>Nov-26</c:v>
                </c:pt>
                <c:pt idx="2">
                  <c:v>Dec-26</c:v>
                </c:pt>
                <c:pt idx="3">
                  <c:v>Jan-27</c:v>
                </c:pt>
                <c:pt idx="4">
                  <c:v>Feb-27</c:v>
                </c:pt>
                <c:pt idx="5">
                  <c:v>Mar-27</c:v>
                </c:pt>
                <c:pt idx="6">
                  <c:v>Apr-27</c:v>
                </c:pt>
                <c:pt idx="7">
                  <c:v>May-27</c:v>
                </c:pt>
                <c:pt idx="8">
                  <c:v>Jun-27</c:v>
                </c:pt>
                <c:pt idx="9">
                  <c:v>Jul-27</c:v>
                </c:pt>
                <c:pt idx="10">
                  <c:v>Aug-27</c:v>
                </c:pt>
                <c:pt idx="11">
                  <c:v>Sep-27</c:v>
                </c:pt>
                <c:pt idx="12">
                  <c:v>Oct-27</c:v>
                </c:pt>
                <c:pt idx="13">
                  <c:v>Nov-27</c:v>
                </c:pt>
                <c:pt idx="14">
                  <c:v>Dec-27</c:v>
                </c:pt>
                <c:pt idx="15">
                  <c:v>Jan-28</c:v>
                </c:pt>
                <c:pt idx="16">
                  <c:v>Feb-28</c:v>
                </c:pt>
                <c:pt idx="17">
                  <c:v>Mar-28</c:v>
                </c:pt>
                <c:pt idx="18">
                  <c:v>Apr-28</c:v>
                </c:pt>
                <c:pt idx="19">
                  <c:v>May-28</c:v>
                </c:pt>
                <c:pt idx="20">
                  <c:v>Jun-28</c:v>
                </c:pt>
                <c:pt idx="21">
                  <c:v>Jul-28</c:v>
                </c:pt>
                <c:pt idx="22">
                  <c:v>Aug-28</c:v>
                </c:pt>
                <c:pt idx="23">
                  <c:v>Sep-28</c:v>
                </c:pt>
              </c:strCache>
            </c:strRef>
          </c:cat>
          <c:val>
            <c:numRef>
              <c:f>Forecast!$E$14:$E$37</c:f>
              <c:numCache>
                <c:formatCode>#,##0.00;\(#,##0.00\);"–"</c:formatCode>
                <c:ptCount val="24"/>
                <c:pt idx="0">
                  <c:v>0</c:v>
                </c:pt>
                <c:pt idx="1">
                  <c:v>5</c:v>
                </c:pt>
                <c:pt idx="2">
                  <c:v>35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7.1999999999999993</c:v>
                </c:pt>
                <c:pt idx="11">
                  <c:v>7.1999999999999993</c:v>
                </c:pt>
                <c:pt idx="12">
                  <c:v>3.6000000000000005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5.508</c:v>
                </c:pt>
                <c:pt idx="21">
                  <c:v>5.508</c:v>
                </c:pt>
                <c:pt idx="22">
                  <c:v>2.7540000000000004</c:v>
                </c:pt>
                <c:pt idx="2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B248-2D4B-B727-56A1E2702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t>Expected fee receipts by month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fee cash</c:v>
          </c:tx>
          <c:spPr>
            <a:solidFill>
              <a:srgbClr val="3C83A3"/>
            </a:solidFill>
          </c:spPr>
          <c:invertIfNegative val="1"/>
          <c:cat>
            <c:strRef>
              <c:f>Forecast!$O$14:$O$37</c:f>
              <c:strCache>
                <c:ptCount val="24"/>
                <c:pt idx="0">
                  <c:v>Oct-26</c:v>
                </c:pt>
                <c:pt idx="1">
                  <c:v>Nov-26</c:v>
                </c:pt>
                <c:pt idx="2">
                  <c:v>Dec-26</c:v>
                </c:pt>
                <c:pt idx="3">
                  <c:v>Jan-27</c:v>
                </c:pt>
                <c:pt idx="4">
                  <c:v>Feb-27</c:v>
                </c:pt>
                <c:pt idx="5">
                  <c:v>Mar-27</c:v>
                </c:pt>
                <c:pt idx="6">
                  <c:v>Apr-27</c:v>
                </c:pt>
                <c:pt idx="7">
                  <c:v>May-27</c:v>
                </c:pt>
                <c:pt idx="8">
                  <c:v>Jun-27</c:v>
                </c:pt>
                <c:pt idx="9">
                  <c:v>Jul-27</c:v>
                </c:pt>
                <c:pt idx="10">
                  <c:v>Aug-27</c:v>
                </c:pt>
                <c:pt idx="11">
                  <c:v>Sep-27</c:v>
                </c:pt>
                <c:pt idx="12">
                  <c:v>Oct-27</c:v>
                </c:pt>
                <c:pt idx="13">
                  <c:v>Nov-27</c:v>
                </c:pt>
                <c:pt idx="14">
                  <c:v>Dec-27</c:v>
                </c:pt>
                <c:pt idx="15">
                  <c:v>Jan-28</c:v>
                </c:pt>
                <c:pt idx="16">
                  <c:v>Feb-28</c:v>
                </c:pt>
                <c:pt idx="17">
                  <c:v>Mar-28</c:v>
                </c:pt>
                <c:pt idx="18">
                  <c:v>Apr-28</c:v>
                </c:pt>
                <c:pt idx="19">
                  <c:v>May-28</c:v>
                </c:pt>
                <c:pt idx="20">
                  <c:v>Jun-28</c:v>
                </c:pt>
                <c:pt idx="21">
                  <c:v>Jul-28</c:v>
                </c:pt>
                <c:pt idx="22">
                  <c:v>Aug-28</c:v>
                </c:pt>
                <c:pt idx="23">
                  <c:v>Sep-28</c:v>
                </c:pt>
              </c:strCache>
            </c:strRef>
          </c:cat>
          <c:val>
            <c:numRef>
              <c:f>Forecast!$I$14:$I$37</c:f>
              <c:numCache>
                <c:formatCode>\$#,##0.00;\(\$#,##0.00\);"–"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6000</c:v>
                </c:pt>
                <c:pt idx="3">
                  <c:v>6000</c:v>
                </c:pt>
                <c:pt idx="4">
                  <c:v>18375</c:v>
                </c:pt>
                <c:pt idx="5">
                  <c:v>89625</c:v>
                </c:pt>
                <c:pt idx="6">
                  <c:v>26250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4590.0000000000009</c:v>
                </c:pt>
                <c:pt idx="13">
                  <c:v>22410.000000000004</c:v>
                </c:pt>
                <c:pt idx="14">
                  <c:v>20115.000000000004</c:v>
                </c:pt>
                <c:pt idx="15">
                  <c:v>8910.0000000000018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13632.300000000001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C983-0748-B0AF-589E6DED0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&quot;K&quot;" sourceLinked="0"/>
        <c:majorTickMark val="none"/>
        <c:minorTickMark val="none"/>
        <c:tickLblPos val="nextTo"/>
        <c:txPr>
          <a:bodyPr anchorCtr="1"/>
          <a:lstStyle/>
          <a:p>
            <a:pPr>
              <a:defRPr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8</xdr:col>
      <xdr:colOff>0</xdr:colOff>
      <xdr:row>57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41</xdr:row>
      <xdr:rowOff>0</xdr:rowOff>
    </xdr:from>
    <xdr:to>
      <xdr:col>16</xdr:col>
      <xdr:colOff>0</xdr:colOff>
      <xdr:row>57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1A6B9"/>
  </sheetPr>
  <dimension ref="A1:H44"/>
  <sheetViews>
    <sheetView showGridLines="0" tabSelected="1" workbookViewId="0"/>
  </sheetViews>
  <sheetFormatPr baseColWidth="10" defaultColWidth="8.83203125" defaultRowHeight="14"/>
  <cols>
    <col min="1" max="8" width="19" customWidth="1"/>
  </cols>
  <sheetData>
    <row r="1" spans="1:8" ht="22" customHeight="1">
      <c r="A1" s="1"/>
      <c r="B1" s="1"/>
      <c r="C1" s="1"/>
      <c r="D1" s="1"/>
      <c r="E1" s="1"/>
      <c r="F1" s="1"/>
      <c r="G1" s="1"/>
      <c r="H1" s="1"/>
    </row>
    <row r="2" spans="1:8" ht="22" customHeight="1">
      <c r="A2" s="2" t="s">
        <v>0</v>
      </c>
      <c r="B2" s="1"/>
      <c r="C2" s="1"/>
      <c r="D2" s="1"/>
      <c r="E2" s="1"/>
      <c r="F2" s="1"/>
      <c r="G2" s="1"/>
      <c r="H2" s="1"/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27" t="s">
        <v>1</v>
      </c>
      <c r="B5" s="28"/>
      <c r="C5" s="28"/>
      <c r="D5" s="28"/>
      <c r="E5" s="28"/>
      <c r="F5" s="28"/>
      <c r="G5" s="28"/>
      <c r="H5" s="28"/>
    </row>
    <row r="6" spans="1:8" ht="28" customHeight="1">
      <c r="A6" s="29" t="s">
        <v>2</v>
      </c>
      <c r="B6" s="29"/>
      <c r="C6" s="29"/>
      <c r="D6" s="29"/>
      <c r="E6" s="29"/>
      <c r="F6" s="29"/>
      <c r="G6" s="29"/>
      <c r="H6" s="29"/>
    </row>
    <row r="7" spans="1:8" ht="28" customHeight="1">
      <c r="A7" s="29"/>
      <c r="B7" s="29"/>
      <c r="C7" s="29"/>
      <c r="D7" s="29"/>
      <c r="E7" s="29"/>
      <c r="F7" s="29"/>
      <c r="G7" s="29"/>
      <c r="H7" s="29"/>
    </row>
    <row r="8" spans="1:8" ht="22" customHeight="1">
      <c r="A8" s="1"/>
      <c r="B8" s="1"/>
      <c r="C8" s="1"/>
      <c r="D8" s="1"/>
      <c r="E8" s="1"/>
      <c r="F8" s="1"/>
      <c r="G8" s="1"/>
      <c r="H8" s="1"/>
    </row>
    <row r="9" spans="1:8" ht="22" customHeight="1">
      <c r="A9" s="27" t="s">
        <v>3</v>
      </c>
      <c r="B9" s="28"/>
      <c r="C9" s="28"/>
      <c r="D9" s="28"/>
      <c r="E9" s="28"/>
      <c r="F9" s="28"/>
      <c r="G9" s="28"/>
      <c r="H9" s="28"/>
    </row>
    <row r="10" spans="1:8" ht="28" customHeight="1">
      <c r="A10" s="29" t="s">
        <v>4</v>
      </c>
      <c r="B10" s="29"/>
      <c r="C10" s="29"/>
      <c r="D10" s="29"/>
      <c r="E10" s="29"/>
      <c r="F10" s="29"/>
      <c r="G10" s="29"/>
      <c r="H10" s="29"/>
    </row>
    <row r="11" spans="1:8" ht="28" customHeight="1">
      <c r="A11" s="29"/>
      <c r="B11" s="29"/>
      <c r="C11" s="29"/>
      <c r="D11" s="29"/>
      <c r="E11" s="29"/>
      <c r="F11" s="29"/>
      <c r="G11" s="29"/>
      <c r="H11" s="29"/>
    </row>
    <row r="12" spans="1:8" ht="22" customHeight="1">
      <c r="A12" s="1"/>
      <c r="B12" s="1"/>
      <c r="C12" s="1"/>
      <c r="D12" s="1"/>
      <c r="E12" s="1"/>
      <c r="F12" s="1"/>
      <c r="G12" s="1"/>
      <c r="H12" s="1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27" t="s">
        <v>5</v>
      </c>
      <c r="B14" s="28"/>
      <c r="C14" s="28"/>
      <c r="D14" s="28"/>
      <c r="E14" s="28"/>
      <c r="F14" s="28"/>
      <c r="G14" s="28"/>
      <c r="H14" s="28"/>
    </row>
    <row r="15" spans="1:8" ht="28" customHeight="1">
      <c r="A15" s="29" t="s">
        <v>6</v>
      </c>
      <c r="B15" s="29"/>
      <c r="C15" s="29"/>
      <c r="D15" s="29"/>
      <c r="E15" s="29"/>
      <c r="F15" s="29"/>
      <c r="G15" s="29"/>
      <c r="H15" s="29"/>
    </row>
    <row r="16" spans="1:8" ht="28" customHeight="1">
      <c r="A16" s="29"/>
      <c r="B16" s="29"/>
      <c r="C16" s="29"/>
      <c r="D16" s="29"/>
      <c r="E16" s="29"/>
      <c r="F16" s="29"/>
      <c r="G16" s="29"/>
      <c r="H16" s="29"/>
    </row>
    <row r="17" spans="1:8" ht="22" customHeight="1">
      <c r="A17" s="1"/>
      <c r="B17" s="1"/>
      <c r="C17" s="1"/>
      <c r="D17" s="1"/>
      <c r="E17" s="1"/>
      <c r="F17" s="1"/>
      <c r="G17" s="1"/>
      <c r="H17" s="1"/>
    </row>
    <row r="18" spans="1:8" ht="22" customHeight="1">
      <c r="A18" s="1"/>
      <c r="B18" s="1"/>
      <c r="C18" s="1"/>
      <c r="D18" s="1"/>
      <c r="E18" s="1"/>
      <c r="F18" s="1"/>
      <c r="G18" s="1"/>
      <c r="H18" s="1"/>
    </row>
    <row r="19" spans="1:8" ht="22" customHeight="1">
      <c r="A19" s="27" t="s">
        <v>7</v>
      </c>
      <c r="B19" s="28"/>
      <c r="C19" s="28"/>
      <c r="D19" s="28"/>
      <c r="E19" s="28"/>
      <c r="F19" s="28"/>
      <c r="G19" s="28"/>
      <c r="H19" s="28"/>
    </row>
    <row r="20" spans="1:8" ht="28" customHeight="1">
      <c r="A20" s="29" t="s">
        <v>8</v>
      </c>
      <c r="B20" s="29"/>
      <c r="C20" s="29"/>
      <c r="D20" s="29"/>
      <c r="E20" s="29"/>
      <c r="F20" s="29"/>
      <c r="G20" s="29"/>
      <c r="H20" s="29"/>
    </row>
    <row r="21" spans="1:8" ht="28" customHeight="1">
      <c r="A21" s="29"/>
      <c r="B21" s="29"/>
      <c r="C21" s="29"/>
      <c r="D21" s="29"/>
      <c r="E21" s="29"/>
      <c r="F21" s="29"/>
      <c r="G21" s="29"/>
      <c r="H21" s="29"/>
    </row>
    <row r="22" spans="1:8" ht="22" customHeight="1">
      <c r="A22" s="1"/>
      <c r="B22" s="1"/>
      <c r="C22" s="1"/>
      <c r="D22" s="1"/>
      <c r="E22" s="1"/>
      <c r="F22" s="1"/>
      <c r="G22" s="1"/>
      <c r="H22" s="1"/>
    </row>
    <row r="23" spans="1:8" ht="22" customHeight="1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27" t="s">
        <v>9</v>
      </c>
      <c r="B24" s="28"/>
      <c r="C24" s="28"/>
      <c r="D24" s="28"/>
      <c r="E24" s="28"/>
      <c r="F24" s="28"/>
      <c r="G24" s="28"/>
      <c r="H24" s="28"/>
    </row>
    <row r="25" spans="1:8" ht="28" customHeight="1">
      <c r="A25" s="29" t="s">
        <v>10</v>
      </c>
      <c r="B25" s="29"/>
      <c r="C25" s="29"/>
      <c r="D25" s="29"/>
      <c r="E25" s="29"/>
      <c r="F25" s="29"/>
      <c r="G25" s="29"/>
      <c r="H25" s="29"/>
    </row>
    <row r="26" spans="1:8" ht="28" customHeight="1">
      <c r="A26" s="29"/>
      <c r="B26" s="29"/>
      <c r="C26" s="29"/>
      <c r="D26" s="29"/>
      <c r="E26" s="29"/>
      <c r="F26" s="29"/>
      <c r="G26" s="29"/>
      <c r="H26" s="29"/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22" customHeight="1">
      <c r="A28" s="1"/>
      <c r="B28" s="1"/>
      <c r="C28" s="1"/>
      <c r="D28" s="1"/>
      <c r="E28" s="1"/>
      <c r="F28" s="1"/>
      <c r="G28" s="1"/>
      <c r="H28" s="1"/>
    </row>
    <row r="29" spans="1:8" ht="22" customHeight="1">
      <c r="A29" s="27" t="s">
        <v>11</v>
      </c>
      <c r="B29" s="28"/>
      <c r="C29" s="28"/>
      <c r="D29" s="28"/>
      <c r="E29" s="28"/>
      <c r="F29" s="28"/>
      <c r="G29" s="28"/>
      <c r="H29" s="28"/>
    </row>
    <row r="30" spans="1:8" ht="28" customHeight="1">
      <c r="A30" s="29" t="s">
        <v>12</v>
      </c>
      <c r="B30" s="29"/>
      <c r="C30" s="29"/>
      <c r="D30" s="29"/>
      <c r="E30" s="29"/>
      <c r="F30" s="29"/>
      <c r="G30" s="29"/>
      <c r="H30" s="29"/>
    </row>
    <row r="31" spans="1:8" ht="28" customHeight="1">
      <c r="A31" s="29"/>
      <c r="B31" s="29"/>
      <c r="C31" s="29"/>
      <c r="D31" s="29"/>
      <c r="E31" s="29"/>
      <c r="F31" s="29"/>
      <c r="G31" s="29"/>
      <c r="H31" s="29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22" customHeight="1">
      <c r="A34" s="27" t="s">
        <v>13</v>
      </c>
      <c r="B34" s="28"/>
      <c r="C34" s="28"/>
      <c r="D34" s="28"/>
      <c r="E34" s="28"/>
      <c r="F34" s="28"/>
      <c r="G34" s="28"/>
      <c r="H34" s="28"/>
    </row>
    <row r="35" spans="1:8" ht="28" customHeight="1">
      <c r="A35" s="29" t="s">
        <v>14</v>
      </c>
      <c r="B35" s="29"/>
      <c r="C35" s="29"/>
      <c r="D35" s="29"/>
      <c r="E35" s="29"/>
      <c r="F35" s="29"/>
      <c r="G35" s="29"/>
      <c r="H35" s="29"/>
    </row>
    <row r="36" spans="1:8" ht="28" customHeight="1">
      <c r="A36" s="29"/>
      <c r="B36" s="29"/>
      <c r="C36" s="29"/>
      <c r="D36" s="29"/>
      <c r="E36" s="29"/>
      <c r="F36" s="29"/>
      <c r="G36" s="29"/>
      <c r="H36" s="29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27" t="s">
        <v>15</v>
      </c>
      <c r="B39" s="28"/>
      <c r="C39" s="28"/>
      <c r="D39" s="28"/>
      <c r="E39" s="28"/>
      <c r="F39" s="28"/>
      <c r="G39" s="28"/>
      <c r="H39" s="28"/>
    </row>
    <row r="40" spans="1:8" ht="28" customHeight="1">
      <c r="A40" s="29" t="s">
        <v>714</v>
      </c>
      <c r="B40" s="29"/>
      <c r="C40" s="29"/>
      <c r="D40" s="29"/>
      <c r="E40" s="29"/>
      <c r="F40" s="29"/>
      <c r="G40" s="29"/>
      <c r="H40" s="29"/>
    </row>
    <row r="41" spans="1:8" ht="28" customHeight="1">
      <c r="A41" s="29"/>
      <c r="B41" s="29"/>
      <c r="C41" s="29"/>
      <c r="D41" s="29"/>
      <c r="E41" s="29"/>
      <c r="F41" s="29"/>
      <c r="G41" s="29"/>
      <c r="H41" s="29"/>
    </row>
    <row r="42" spans="1:8" ht="22" customHeight="1">
      <c r="A42" s="1"/>
      <c r="B42" s="1"/>
      <c r="C42" s="1"/>
      <c r="D42" s="1"/>
      <c r="E42" s="1"/>
      <c r="F42" s="1"/>
      <c r="G42" s="1"/>
      <c r="H42" s="1"/>
    </row>
    <row r="43" spans="1:8" ht="22" customHeight="1">
      <c r="A43" s="1"/>
      <c r="B43" s="1"/>
      <c r="C43" s="1"/>
      <c r="D43" s="1"/>
      <c r="E43" s="1"/>
      <c r="F43" s="1"/>
      <c r="G43" s="1"/>
      <c r="H43" s="1"/>
    </row>
    <row r="44" spans="1:8" ht="52" customHeight="1">
      <c r="A44" s="30" t="s">
        <v>715</v>
      </c>
      <c r="B44" s="31"/>
      <c r="C44" s="31"/>
      <c r="D44" s="31"/>
      <c r="E44" s="31"/>
      <c r="F44" s="31"/>
      <c r="G44" s="31"/>
      <c r="H44" s="31"/>
    </row>
  </sheetData>
  <mergeCells count="17">
    <mergeCell ref="A40:H41"/>
    <mergeCell ref="A44:H44"/>
    <mergeCell ref="A29:H29"/>
    <mergeCell ref="A30:H31"/>
    <mergeCell ref="A34:H34"/>
    <mergeCell ref="A35:H36"/>
    <mergeCell ref="A39:H39"/>
    <mergeCell ref="A15:H16"/>
    <mergeCell ref="A19:H19"/>
    <mergeCell ref="A20:H21"/>
    <mergeCell ref="A24:H24"/>
    <mergeCell ref="A25:H26"/>
    <mergeCell ref="A5:H5"/>
    <mergeCell ref="A6:H7"/>
    <mergeCell ref="A9:H9"/>
    <mergeCell ref="A10:H11"/>
    <mergeCell ref="A14:H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24D"/>
  </sheetPr>
  <dimension ref="A1:O73"/>
  <sheetViews>
    <sheetView showGridLines="0" workbookViewId="0">
      <pane ySplit="13" topLeftCell="A14" activePane="bottomLeft" state="frozen"/>
      <selection pane="bottomLeft"/>
    </sheetView>
  </sheetViews>
  <sheetFormatPr baseColWidth="10" defaultColWidth="8.83203125" defaultRowHeight="14"/>
  <cols>
    <col min="1" max="1" width="16" customWidth="1"/>
    <col min="2" max="5" width="17" customWidth="1"/>
    <col min="6" max="9" width="19" customWidth="1"/>
    <col min="10" max="15" width="17" customWidth="1"/>
  </cols>
  <sheetData>
    <row r="1" spans="1:15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2" customHeight="1">
      <c r="A2" s="2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2" customHeight="1">
      <c r="A3" s="32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2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2" customHeight="1">
      <c r="A5" s="1" t="s">
        <v>18</v>
      </c>
      <c r="B5" s="20">
        <f>COUNTIFS('Case calculations'!$C$6:$C$205,"OK")</f>
        <v>100</v>
      </c>
      <c r="C5" s="1"/>
      <c r="D5" s="1" t="s">
        <v>19</v>
      </c>
      <c r="E5" s="20">
        <f>SUMPRODUCT(--('Case inputs'!$I$6:$I$205&lt;&gt;""))-COUNTIFS('Case calculations'!$C$6:$C$205,"OK")</f>
        <v>0</v>
      </c>
      <c r="F5" s="1"/>
      <c r="G5" s="1" t="s">
        <v>20</v>
      </c>
      <c r="H5" s="20">
        <f>COUNTIFS('Case calculations'!$G$6:$G$205,"OVERDUE: FUTURE WINDOW")</f>
        <v>10</v>
      </c>
      <c r="I5" s="1"/>
      <c r="J5" s="1" t="s">
        <v>21</v>
      </c>
      <c r="K5" s="20">
        <f>Assumptions!$B$18</f>
        <v>0</v>
      </c>
      <c r="L5" s="1"/>
      <c r="M5" s="1"/>
      <c r="N5" s="1"/>
      <c r="O5" s="1"/>
    </row>
    <row r="6" spans="1:15" ht="2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2" customHeight="1">
      <c r="A8" s="1" t="s">
        <v>22</v>
      </c>
      <c r="B8" s="21">
        <f>SUM('Case calculations'!P6:P205)</f>
        <v>81.769999999999982</v>
      </c>
      <c r="C8" s="1"/>
      <c r="D8" s="1" t="s">
        <v>23</v>
      </c>
      <c r="E8" s="22">
        <f>SUM('Cash flows'!F6:F605)</f>
        <v>236355.75000000003</v>
      </c>
      <c r="F8" s="1"/>
      <c r="G8" s="1" t="s">
        <v>24</v>
      </c>
      <c r="H8" s="22">
        <f>SUM(I14:I37)</f>
        <v>215907.3</v>
      </c>
      <c r="I8" s="1"/>
      <c r="J8" s="1" t="s">
        <v>25</v>
      </c>
      <c r="K8" s="22">
        <f>SUMIFS('Cash flows'!F6:F605,'Cash flows'!H6:H605,"BEYOND HORIZON")</f>
        <v>20448.45</v>
      </c>
      <c r="L8" s="1"/>
      <c r="M8" s="1"/>
      <c r="N8" s="1"/>
      <c r="O8" s="1"/>
    </row>
    <row r="9" spans="1:15" ht="2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2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2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42" customHeight="1">
      <c r="A13" s="3" t="s">
        <v>26</v>
      </c>
      <c r="B13" s="3" t="s">
        <v>27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34</v>
      </c>
      <c r="J13" s="3" t="s">
        <v>35</v>
      </c>
      <c r="K13" s="3" t="s">
        <v>36</v>
      </c>
      <c r="L13" s="3" t="s">
        <v>37</v>
      </c>
      <c r="M13" s="3" t="s">
        <v>38</v>
      </c>
      <c r="N13" s="3" t="s">
        <v>39</v>
      </c>
      <c r="O13" s="3" t="s">
        <v>40</v>
      </c>
    </row>
    <row r="14" spans="1:15" ht="22" customHeight="1">
      <c r="A14" s="23">
        <f>EDATE(Assumptions!$B$5,0)</f>
        <v>46296</v>
      </c>
      <c r="B14" s="24">
        <f>SUMIFS('Case calculations'!$P$6:$P$205,'Case calculations'!$B$6:$B$205,"INITIAL",'Case calculations'!$L$6:$L$205,"&gt;="&amp;A14,'Case calculations'!$L$6:$L$205,"&lt;"&amp;EDATE(A14,1))</f>
        <v>0</v>
      </c>
      <c r="C14" s="24">
        <f>SUMIFS('Case calculations'!$P$6:$P$205,'Case calculations'!$B$6:$B$205,"RECON",'Case calculations'!$L$6:$L$205,"&gt;="&amp;A14,'Case calculations'!$L$6:$L$205,"&lt;"&amp;EDATE(A14,1))</f>
        <v>0</v>
      </c>
      <c r="D14" s="24">
        <f>SUMIFS('Case calculations'!$P$6:$P$205,'Case calculations'!$B$6:$B$205,"HEARING",'Case calculations'!$L$6:$L$205,"&gt;="&amp;A14,'Case calculations'!$L$6:$L$205,"&lt;"&amp;EDATE(A14,1))</f>
        <v>0</v>
      </c>
      <c r="E14" s="24">
        <f t="shared" ref="E14:E37" si="0">SUM(B14:D14)</f>
        <v>0</v>
      </c>
      <c r="F14" s="10">
        <f>SUMIFS('Cash flows'!$F$6:$F$605,'Cash flows'!$C$6:$C$605,"INITIAL",'Cash flows'!$G$6:$G$605,"&gt;="&amp;A14,'Cash flows'!$G$6:$G$605,"&lt;"&amp;EDATE(A14,1))</f>
        <v>0</v>
      </c>
      <c r="G14" s="10">
        <f>SUMIFS('Cash flows'!$F$6:$F$605,'Cash flows'!$C$6:$C$605,"RECON",'Cash flows'!$G$6:$G$605,"&gt;="&amp;A14,'Cash flows'!$G$6:$G$605,"&lt;"&amp;EDATE(A14,1))</f>
        <v>0</v>
      </c>
      <c r="H14" s="10">
        <f>SUMIFS('Cash flows'!$F$6:$F$605,'Cash flows'!$C$6:$C$605,"HEARING",'Cash flows'!$G$6:$G$605,"&gt;="&amp;A14,'Cash flows'!$G$6:$G$605,"&lt;"&amp;EDATE(A14,1))</f>
        <v>0</v>
      </c>
      <c r="I14" s="10">
        <f t="shared" ref="I14:I37" si="1">SUM(F14:H14)</f>
        <v>0</v>
      </c>
      <c r="J14" s="25">
        <f>E14/Assumptions!$B$33</f>
        <v>0</v>
      </c>
      <c r="K14" s="25">
        <f>Assumptions!$B$34</f>
        <v>1</v>
      </c>
      <c r="L14" s="25">
        <f t="shared" ref="L14:L37" si="2">MAX(0,J14-K14)</f>
        <v>0</v>
      </c>
      <c r="M14" s="1">
        <f t="shared" ref="M14:M37" si="3">ROUNDUP(L14,0)</f>
        <v>0</v>
      </c>
      <c r="N14" s="7" t="str">
        <f>IF(L14&gt;0,EDATE(A14,-Assumptions!$B$35),"")</f>
        <v/>
      </c>
      <c r="O14" s="1" t="str">
        <f t="shared" ref="O14:O37" si="4">TEXT(A14,"mmm-yy")</f>
        <v>Oct-26</v>
      </c>
    </row>
    <row r="15" spans="1:15" ht="22" customHeight="1">
      <c r="A15" s="23">
        <f>EDATE(Assumptions!$B$5,1)</f>
        <v>46327</v>
      </c>
      <c r="B15" s="24">
        <f>SUMIFS('Case calculations'!$P$6:$P$205,'Case calculations'!$B$6:$B$205,"INITIAL",'Case calculations'!$L$6:$L$205,"&gt;="&amp;A15,'Case calculations'!$L$6:$L$205,"&lt;"&amp;EDATE(A15,1))</f>
        <v>0</v>
      </c>
      <c r="C15" s="24">
        <f>SUMIFS('Case calculations'!$P$6:$P$205,'Case calculations'!$B$6:$B$205,"RECON",'Case calculations'!$L$6:$L$205,"&gt;="&amp;A15,'Case calculations'!$L$6:$L$205,"&lt;"&amp;EDATE(A15,1))</f>
        <v>0</v>
      </c>
      <c r="D15" s="24">
        <f>SUMIFS('Case calculations'!$P$6:$P$205,'Case calculations'!$B$6:$B$205,"HEARING",'Case calculations'!$L$6:$L$205,"&gt;="&amp;A15,'Case calculations'!$L$6:$L$205,"&lt;"&amp;EDATE(A15,1))</f>
        <v>5</v>
      </c>
      <c r="E15" s="24">
        <f t="shared" si="0"/>
        <v>5</v>
      </c>
      <c r="F15" s="10">
        <f>SUMIFS('Cash flows'!$F$6:$F$605,'Cash flows'!$C$6:$C$605,"INITIAL",'Cash flows'!$G$6:$G$605,"&gt;="&amp;A15,'Cash flows'!$G$6:$G$605,"&lt;"&amp;EDATE(A15,1))</f>
        <v>0</v>
      </c>
      <c r="G15" s="10">
        <f>SUMIFS('Cash flows'!$F$6:$F$605,'Cash flows'!$C$6:$C$605,"RECON",'Cash flows'!$G$6:$G$605,"&gt;="&amp;A15,'Cash flows'!$G$6:$G$605,"&lt;"&amp;EDATE(A15,1))</f>
        <v>0</v>
      </c>
      <c r="H15" s="10">
        <f>SUMIFS('Cash flows'!$F$6:$F$605,'Cash flows'!$C$6:$C$605,"HEARING",'Cash flows'!$G$6:$G$605,"&gt;="&amp;A15,'Cash flows'!$G$6:$G$605,"&lt;"&amp;EDATE(A15,1))</f>
        <v>0</v>
      </c>
      <c r="I15" s="10">
        <f t="shared" si="1"/>
        <v>0</v>
      </c>
      <c r="J15" s="25">
        <f>E15/Assumptions!$B$33</f>
        <v>0.25</v>
      </c>
      <c r="K15" s="25">
        <f>Assumptions!$B$34</f>
        <v>1</v>
      </c>
      <c r="L15" s="25">
        <f t="shared" si="2"/>
        <v>0</v>
      </c>
      <c r="M15" s="1">
        <f t="shared" si="3"/>
        <v>0</v>
      </c>
      <c r="N15" s="7" t="str">
        <f>IF(L15&gt;0,EDATE(A15,-Assumptions!$B$35),"")</f>
        <v/>
      </c>
      <c r="O15" s="1" t="str">
        <f t="shared" si="4"/>
        <v>Nov-26</v>
      </c>
    </row>
    <row r="16" spans="1:15" ht="22" customHeight="1">
      <c r="A16" s="23">
        <f>EDATE(Assumptions!$B$5,2)</f>
        <v>46357</v>
      </c>
      <c r="B16" s="24">
        <f>SUMIFS('Case calculations'!$P$6:$P$205,'Case calculations'!$B$6:$B$205,"INITIAL",'Case calculations'!$L$6:$L$205,"&gt;="&amp;A16,'Case calculations'!$L$6:$L$205,"&lt;"&amp;EDATE(A16,1))</f>
        <v>0</v>
      </c>
      <c r="C16" s="24">
        <f>SUMIFS('Case calculations'!$P$6:$P$205,'Case calculations'!$B$6:$B$205,"RECON",'Case calculations'!$L$6:$L$205,"&gt;="&amp;A16,'Case calculations'!$L$6:$L$205,"&lt;"&amp;EDATE(A16,1))</f>
        <v>0</v>
      </c>
      <c r="D16" s="24">
        <f>SUMIFS('Case calculations'!$P$6:$P$205,'Case calculations'!$B$6:$B$205,"HEARING",'Case calculations'!$L$6:$L$205,"&gt;="&amp;A16,'Case calculations'!$L$6:$L$205,"&lt;"&amp;EDATE(A16,1))</f>
        <v>35</v>
      </c>
      <c r="E16" s="24">
        <f t="shared" si="0"/>
        <v>35</v>
      </c>
      <c r="F16" s="10">
        <f>SUMIFS('Cash flows'!$F$6:$F$605,'Cash flows'!$C$6:$C$605,"INITIAL",'Cash flows'!$G$6:$G$605,"&gt;="&amp;A16,'Cash flows'!$G$6:$G$605,"&lt;"&amp;EDATE(A16,1))</f>
        <v>0</v>
      </c>
      <c r="G16" s="10">
        <f>SUMIFS('Cash flows'!$F$6:$F$605,'Cash flows'!$C$6:$C$605,"RECON",'Cash flows'!$G$6:$G$605,"&gt;="&amp;A16,'Cash flows'!$G$6:$G$605,"&lt;"&amp;EDATE(A16,1))</f>
        <v>6000</v>
      </c>
      <c r="H16" s="10">
        <f>SUMIFS('Cash flows'!$F$6:$F$605,'Cash flows'!$C$6:$C$605,"HEARING",'Cash flows'!$G$6:$G$605,"&gt;="&amp;A16,'Cash flows'!$G$6:$G$605,"&lt;"&amp;EDATE(A16,1))</f>
        <v>0</v>
      </c>
      <c r="I16" s="10">
        <f t="shared" si="1"/>
        <v>6000</v>
      </c>
      <c r="J16" s="25">
        <f>E16/Assumptions!$B$33</f>
        <v>1.75</v>
      </c>
      <c r="K16" s="25">
        <f>Assumptions!$B$34</f>
        <v>1</v>
      </c>
      <c r="L16" s="25">
        <f t="shared" si="2"/>
        <v>0.75</v>
      </c>
      <c r="M16" s="1">
        <f t="shared" si="3"/>
        <v>1</v>
      </c>
      <c r="N16" s="7">
        <f>IF(L16&gt;0,EDATE(A16,-Assumptions!$B$35),"")</f>
        <v>46296</v>
      </c>
      <c r="O16" s="1" t="str">
        <f t="shared" si="4"/>
        <v>Dec-26</v>
      </c>
    </row>
    <row r="17" spans="1:15" ht="22" customHeight="1">
      <c r="A17" s="23">
        <f>EDATE(Assumptions!$B$5,3)</f>
        <v>46388</v>
      </c>
      <c r="B17" s="24">
        <f>SUMIFS('Case calculations'!$P$6:$P$205,'Case calculations'!$B$6:$B$205,"INITIAL",'Case calculations'!$L$6:$L$205,"&gt;="&amp;A17,'Case calculations'!$L$6:$L$205,"&lt;"&amp;EDATE(A17,1))</f>
        <v>0</v>
      </c>
      <c r="C17" s="24">
        <f>SUMIFS('Case calculations'!$P$6:$P$205,'Case calculations'!$B$6:$B$205,"RECON",'Case calculations'!$L$6:$L$205,"&gt;="&amp;A17,'Case calculations'!$L$6:$L$205,"&lt;"&amp;EDATE(A17,1))</f>
        <v>0</v>
      </c>
      <c r="D17" s="24">
        <f>SUMIFS('Case calculations'!$P$6:$P$205,'Case calculations'!$B$6:$B$205,"HEARING",'Case calculations'!$L$6:$L$205,"&gt;="&amp;A17,'Case calculations'!$L$6:$L$205,"&lt;"&amp;EDATE(A17,1))</f>
        <v>10</v>
      </c>
      <c r="E17" s="24">
        <f t="shared" si="0"/>
        <v>10</v>
      </c>
      <c r="F17" s="10">
        <f>SUMIFS('Cash flows'!$F$6:$F$605,'Cash flows'!$C$6:$C$605,"INITIAL",'Cash flows'!$G$6:$G$605,"&gt;="&amp;A17,'Cash flows'!$G$6:$G$605,"&lt;"&amp;EDATE(A17,1))</f>
        <v>0</v>
      </c>
      <c r="G17" s="10">
        <f>SUMIFS('Cash flows'!$F$6:$F$605,'Cash flows'!$C$6:$C$605,"RECON",'Cash flows'!$G$6:$G$605,"&gt;="&amp;A17,'Cash flows'!$G$6:$G$605,"&lt;"&amp;EDATE(A17,1))</f>
        <v>6000</v>
      </c>
      <c r="H17" s="10">
        <f>SUMIFS('Cash flows'!$F$6:$F$605,'Cash flows'!$C$6:$C$605,"HEARING",'Cash flows'!$G$6:$G$605,"&gt;="&amp;A17,'Cash flows'!$G$6:$G$605,"&lt;"&amp;EDATE(A17,1))</f>
        <v>0</v>
      </c>
      <c r="I17" s="10">
        <f t="shared" si="1"/>
        <v>6000</v>
      </c>
      <c r="J17" s="25">
        <f>E17/Assumptions!$B$33</f>
        <v>0.5</v>
      </c>
      <c r="K17" s="25">
        <f>Assumptions!$B$34</f>
        <v>1</v>
      </c>
      <c r="L17" s="25">
        <f t="shared" si="2"/>
        <v>0</v>
      </c>
      <c r="M17" s="1">
        <f t="shared" si="3"/>
        <v>0</v>
      </c>
      <c r="N17" s="7" t="str">
        <f>IF(L17&gt;0,EDATE(A17,-Assumptions!$B$35),"")</f>
        <v/>
      </c>
      <c r="O17" s="1" t="str">
        <f t="shared" si="4"/>
        <v>Jan-27</v>
      </c>
    </row>
    <row r="18" spans="1:15" ht="22" customHeight="1">
      <c r="A18" s="23">
        <f>EDATE(Assumptions!$B$5,4)</f>
        <v>46419</v>
      </c>
      <c r="B18" s="24">
        <f>SUMIFS('Case calculations'!$P$6:$P$205,'Case calculations'!$B$6:$B$205,"INITIAL",'Case calculations'!$L$6:$L$205,"&gt;="&amp;A18,'Case calculations'!$L$6:$L$205,"&lt;"&amp;EDATE(A18,1))</f>
        <v>0</v>
      </c>
      <c r="C18" s="24">
        <f>SUMIFS('Case calculations'!$P$6:$P$205,'Case calculations'!$B$6:$B$205,"RECON",'Case calculations'!$L$6:$L$205,"&gt;="&amp;A18,'Case calculations'!$L$6:$L$205,"&lt;"&amp;EDATE(A18,1))</f>
        <v>0</v>
      </c>
      <c r="D18" s="24">
        <f>SUMIFS('Case calculations'!$P$6:$P$205,'Case calculations'!$B$6:$B$205,"HEARING",'Case calculations'!$L$6:$L$205,"&gt;="&amp;A18,'Case calculations'!$L$6:$L$205,"&lt;"&amp;EDATE(A18,1))</f>
        <v>0</v>
      </c>
      <c r="E18" s="24">
        <f t="shared" si="0"/>
        <v>0</v>
      </c>
      <c r="F18" s="10">
        <f>SUMIFS('Cash flows'!$F$6:$F$605,'Cash flows'!$C$6:$C$605,"INITIAL",'Cash flows'!$G$6:$G$605,"&gt;="&amp;A18,'Cash flows'!$G$6:$G$605,"&lt;"&amp;EDATE(A18,1))</f>
        <v>3000</v>
      </c>
      <c r="G18" s="10">
        <f>SUMIFS('Cash flows'!$F$6:$F$605,'Cash flows'!$C$6:$C$605,"RECON",'Cash flows'!$G$6:$G$605,"&gt;="&amp;A18,'Cash flows'!$G$6:$G$605,"&lt;"&amp;EDATE(A18,1))</f>
        <v>3000</v>
      </c>
      <c r="H18" s="10">
        <f>SUMIFS('Cash flows'!$F$6:$F$605,'Cash flows'!$C$6:$C$605,"HEARING",'Cash flows'!$G$6:$G$605,"&gt;="&amp;A18,'Cash flows'!$G$6:$G$605,"&lt;"&amp;EDATE(A18,1))</f>
        <v>12375</v>
      </c>
      <c r="I18" s="10">
        <f t="shared" si="1"/>
        <v>18375</v>
      </c>
      <c r="J18" s="25">
        <f>E18/Assumptions!$B$33</f>
        <v>0</v>
      </c>
      <c r="K18" s="25">
        <f>Assumptions!$B$34</f>
        <v>1</v>
      </c>
      <c r="L18" s="25">
        <f t="shared" si="2"/>
        <v>0</v>
      </c>
      <c r="M18" s="1">
        <f t="shared" si="3"/>
        <v>0</v>
      </c>
      <c r="N18" s="7" t="str">
        <f>IF(L18&gt;0,EDATE(A18,-Assumptions!$B$35),"")</f>
        <v/>
      </c>
      <c r="O18" s="1" t="str">
        <f t="shared" si="4"/>
        <v>Feb-27</v>
      </c>
    </row>
    <row r="19" spans="1:15" ht="22" customHeight="1">
      <c r="A19" s="23">
        <f>EDATE(Assumptions!$B$5,5)</f>
        <v>46447</v>
      </c>
      <c r="B19" s="24">
        <f>SUMIFS('Case calculations'!$P$6:$P$205,'Case calculations'!$B$6:$B$205,"INITIAL",'Case calculations'!$L$6:$L$205,"&gt;="&amp;A19,'Case calculations'!$L$6:$L$205,"&lt;"&amp;EDATE(A19,1))</f>
        <v>0</v>
      </c>
      <c r="C19" s="24">
        <f>SUMIFS('Case calculations'!$P$6:$P$205,'Case calculations'!$B$6:$B$205,"RECON",'Case calculations'!$L$6:$L$205,"&gt;="&amp;A19,'Case calculations'!$L$6:$L$205,"&lt;"&amp;EDATE(A19,1))</f>
        <v>0</v>
      </c>
      <c r="D19" s="24">
        <f>SUMIFS('Case calculations'!$P$6:$P$205,'Case calculations'!$B$6:$B$205,"HEARING",'Case calculations'!$L$6:$L$205,"&gt;="&amp;A19,'Case calculations'!$L$6:$L$205,"&lt;"&amp;EDATE(A19,1))</f>
        <v>0</v>
      </c>
      <c r="E19" s="24">
        <f t="shared" si="0"/>
        <v>0</v>
      </c>
      <c r="F19" s="10">
        <f>SUMIFS('Cash flows'!$F$6:$F$605,'Cash flows'!$C$6:$C$605,"INITIAL",'Cash flows'!$G$6:$G$605,"&gt;="&amp;A19,'Cash flows'!$G$6:$G$605,"&lt;"&amp;EDATE(A19,1))</f>
        <v>3000</v>
      </c>
      <c r="G19" s="10">
        <f>SUMIFS('Cash flows'!$F$6:$F$605,'Cash flows'!$C$6:$C$605,"RECON",'Cash flows'!$G$6:$G$605,"&gt;="&amp;A19,'Cash flows'!$G$6:$G$605,"&lt;"&amp;EDATE(A19,1))</f>
        <v>0</v>
      </c>
      <c r="H19" s="10">
        <f>SUMIFS('Cash flows'!$F$6:$F$605,'Cash flows'!$C$6:$C$605,"HEARING",'Cash flows'!$G$6:$G$605,"&gt;="&amp;A19,'Cash flows'!$G$6:$G$605,"&lt;"&amp;EDATE(A19,1))</f>
        <v>86625</v>
      </c>
      <c r="I19" s="10">
        <f t="shared" si="1"/>
        <v>89625</v>
      </c>
      <c r="J19" s="25">
        <f>E19/Assumptions!$B$33</f>
        <v>0</v>
      </c>
      <c r="K19" s="25">
        <f>Assumptions!$B$34</f>
        <v>1</v>
      </c>
      <c r="L19" s="25">
        <f t="shared" si="2"/>
        <v>0</v>
      </c>
      <c r="M19" s="1">
        <f t="shared" si="3"/>
        <v>0</v>
      </c>
      <c r="N19" s="7" t="str">
        <f>IF(L19&gt;0,EDATE(A19,-Assumptions!$B$35),"")</f>
        <v/>
      </c>
      <c r="O19" s="1" t="str">
        <f t="shared" si="4"/>
        <v>Mar-27</v>
      </c>
    </row>
    <row r="20" spans="1:15" ht="22" customHeight="1">
      <c r="A20" s="23">
        <f>EDATE(Assumptions!$B$5,6)</f>
        <v>46478</v>
      </c>
      <c r="B20" s="24">
        <f>SUMIFS('Case calculations'!$P$6:$P$205,'Case calculations'!$B$6:$B$205,"INITIAL",'Case calculations'!$L$6:$L$205,"&gt;="&amp;A20,'Case calculations'!$L$6:$L$205,"&lt;"&amp;EDATE(A20,1))</f>
        <v>0</v>
      </c>
      <c r="C20" s="24">
        <f>SUMIFS('Case calculations'!$P$6:$P$205,'Case calculations'!$B$6:$B$205,"RECON",'Case calculations'!$L$6:$L$205,"&gt;="&amp;A20,'Case calculations'!$L$6:$L$205,"&lt;"&amp;EDATE(A20,1))</f>
        <v>0</v>
      </c>
      <c r="D20" s="24">
        <f>SUMIFS('Case calculations'!$P$6:$P$205,'Case calculations'!$B$6:$B$205,"HEARING",'Case calculations'!$L$6:$L$205,"&gt;="&amp;A20,'Case calculations'!$L$6:$L$205,"&lt;"&amp;EDATE(A20,1))</f>
        <v>0</v>
      </c>
      <c r="E20" s="24">
        <f t="shared" si="0"/>
        <v>0</v>
      </c>
      <c r="F20" s="10">
        <f>SUMIFS('Cash flows'!$F$6:$F$605,'Cash flows'!$C$6:$C$605,"INITIAL",'Cash flows'!$G$6:$G$605,"&gt;="&amp;A20,'Cash flows'!$G$6:$G$605,"&lt;"&amp;EDATE(A20,1))</f>
        <v>1500</v>
      </c>
      <c r="G20" s="10">
        <f>SUMIFS('Cash flows'!$F$6:$F$605,'Cash flows'!$C$6:$C$605,"RECON",'Cash flows'!$G$6:$G$605,"&gt;="&amp;A20,'Cash flows'!$G$6:$G$605,"&lt;"&amp;EDATE(A20,1))</f>
        <v>0</v>
      </c>
      <c r="H20" s="10">
        <f>SUMIFS('Cash flows'!$F$6:$F$605,'Cash flows'!$C$6:$C$605,"HEARING",'Cash flows'!$G$6:$G$605,"&gt;="&amp;A20,'Cash flows'!$G$6:$G$605,"&lt;"&amp;EDATE(A20,1))</f>
        <v>24750</v>
      </c>
      <c r="I20" s="10">
        <f t="shared" si="1"/>
        <v>26250</v>
      </c>
      <c r="J20" s="25">
        <f>E20/Assumptions!$B$33</f>
        <v>0</v>
      </c>
      <c r="K20" s="25">
        <f>Assumptions!$B$34</f>
        <v>1</v>
      </c>
      <c r="L20" s="25">
        <f t="shared" si="2"/>
        <v>0</v>
      </c>
      <c r="M20" s="1">
        <f t="shared" si="3"/>
        <v>0</v>
      </c>
      <c r="N20" s="7" t="str">
        <f>IF(L20&gt;0,EDATE(A20,-Assumptions!$B$35),"")</f>
        <v/>
      </c>
      <c r="O20" s="1" t="str">
        <f t="shared" si="4"/>
        <v>Apr-27</v>
      </c>
    </row>
    <row r="21" spans="1:15" ht="22" customHeight="1">
      <c r="A21" s="23">
        <f>EDATE(Assumptions!$B$5,7)</f>
        <v>46508</v>
      </c>
      <c r="B21" s="24">
        <f>SUMIFS('Case calculations'!$P$6:$P$205,'Case calculations'!$B$6:$B$205,"INITIAL",'Case calculations'!$L$6:$L$205,"&gt;="&amp;A21,'Case calculations'!$L$6:$L$205,"&lt;"&amp;EDATE(A21,1))</f>
        <v>0</v>
      </c>
      <c r="C21" s="24">
        <f>SUMIFS('Case calculations'!$P$6:$P$205,'Case calculations'!$B$6:$B$205,"RECON",'Case calculations'!$L$6:$L$205,"&gt;="&amp;A21,'Case calculations'!$L$6:$L$205,"&lt;"&amp;EDATE(A21,1))</f>
        <v>0</v>
      </c>
      <c r="D21" s="24">
        <f>SUMIFS('Case calculations'!$P$6:$P$205,'Case calculations'!$B$6:$B$205,"HEARING",'Case calculations'!$L$6:$L$205,"&gt;="&amp;A21,'Case calculations'!$L$6:$L$205,"&lt;"&amp;EDATE(A21,1))</f>
        <v>0</v>
      </c>
      <c r="E21" s="24">
        <f t="shared" si="0"/>
        <v>0</v>
      </c>
      <c r="F21" s="10">
        <f>SUMIFS('Cash flows'!$F$6:$F$605,'Cash flows'!$C$6:$C$605,"INITIAL",'Cash flows'!$G$6:$G$605,"&gt;="&amp;A21,'Cash flows'!$G$6:$G$605,"&lt;"&amp;EDATE(A21,1))</f>
        <v>0</v>
      </c>
      <c r="G21" s="10">
        <f>SUMIFS('Cash flows'!$F$6:$F$605,'Cash flows'!$C$6:$C$605,"RECON",'Cash flows'!$G$6:$G$605,"&gt;="&amp;A21,'Cash flows'!$G$6:$G$605,"&lt;"&amp;EDATE(A21,1))</f>
        <v>0</v>
      </c>
      <c r="H21" s="10">
        <f>SUMIFS('Cash flows'!$F$6:$F$605,'Cash flows'!$C$6:$C$605,"HEARING",'Cash flows'!$G$6:$G$605,"&gt;="&amp;A21,'Cash flows'!$G$6:$G$605,"&lt;"&amp;EDATE(A21,1))</f>
        <v>0</v>
      </c>
      <c r="I21" s="10">
        <f t="shared" si="1"/>
        <v>0</v>
      </c>
      <c r="J21" s="25">
        <f>E21/Assumptions!$B$33</f>
        <v>0</v>
      </c>
      <c r="K21" s="25">
        <f>Assumptions!$B$34</f>
        <v>1</v>
      </c>
      <c r="L21" s="25">
        <f t="shared" si="2"/>
        <v>0</v>
      </c>
      <c r="M21" s="1">
        <f t="shared" si="3"/>
        <v>0</v>
      </c>
      <c r="N21" s="7" t="str">
        <f>IF(L21&gt;0,EDATE(A21,-Assumptions!$B$35),"")</f>
        <v/>
      </c>
      <c r="O21" s="1" t="str">
        <f t="shared" si="4"/>
        <v>May-27</v>
      </c>
    </row>
    <row r="22" spans="1:15" ht="22" customHeight="1">
      <c r="A22" s="23">
        <f>EDATE(Assumptions!$B$5,8)</f>
        <v>46539</v>
      </c>
      <c r="B22" s="24">
        <f>SUMIFS('Case calculations'!$P$6:$P$205,'Case calculations'!$B$6:$B$205,"INITIAL",'Case calculations'!$L$6:$L$205,"&gt;="&amp;A22,'Case calculations'!$L$6:$L$205,"&lt;"&amp;EDATE(A22,1))</f>
        <v>0</v>
      </c>
      <c r="C22" s="24">
        <f>SUMIFS('Case calculations'!$P$6:$P$205,'Case calculations'!$B$6:$B$205,"RECON",'Case calculations'!$L$6:$L$205,"&gt;="&amp;A22,'Case calculations'!$L$6:$L$205,"&lt;"&amp;EDATE(A22,1))</f>
        <v>0</v>
      </c>
      <c r="D22" s="24">
        <f>SUMIFS('Case calculations'!$P$6:$P$205,'Case calculations'!$B$6:$B$205,"HEARING",'Case calculations'!$L$6:$L$205,"&gt;="&amp;A22,'Case calculations'!$L$6:$L$205,"&lt;"&amp;EDATE(A22,1))</f>
        <v>0</v>
      </c>
      <c r="E22" s="24">
        <f t="shared" si="0"/>
        <v>0</v>
      </c>
      <c r="F22" s="10">
        <f>SUMIFS('Cash flows'!$F$6:$F$605,'Cash flows'!$C$6:$C$605,"INITIAL",'Cash flows'!$G$6:$G$605,"&gt;="&amp;A22,'Cash flows'!$G$6:$G$605,"&lt;"&amp;EDATE(A22,1))</f>
        <v>0</v>
      </c>
      <c r="G22" s="10">
        <f>SUMIFS('Cash flows'!$F$6:$F$605,'Cash flows'!$C$6:$C$605,"RECON",'Cash flows'!$G$6:$G$605,"&gt;="&amp;A22,'Cash flows'!$G$6:$G$605,"&lt;"&amp;EDATE(A22,1))</f>
        <v>0</v>
      </c>
      <c r="H22" s="10">
        <f>SUMIFS('Cash flows'!$F$6:$F$605,'Cash flows'!$C$6:$C$605,"HEARING",'Cash flows'!$G$6:$G$605,"&gt;="&amp;A22,'Cash flows'!$G$6:$G$605,"&lt;"&amp;EDATE(A22,1))</f>
        <v>0</v>
      </c>
      <c r="I22" s="10">
        <f t="shared" si="1"/>
        <v>0</v>
      </c>
      <c r="J22" s="25">
        <f>E22/Assumptions!$B$33</f>
        <v>0</v>
      </c>
      <c r="K22" s="25">
        <f>Assumptions!$B$34</f>
        <v>1</v>
      </c>
      <c r="L22" s="25">
        <f t="shared" si="2"/>
        <v>0</v>
      </c>
      <c r="M22" s="1">
        <f t="shared" si="3"/>
        <v>0</v>
      </c>
      <c r="N22" s="7" t="str">
        <f>IF(L22&gt;0,EDATE(A22,-Assumptions!$B$35),"")</f>
        <v/>
      </c>
      <c r="O22" s="1" t="str">
        <f t="shared" si="4"/>
        <v>Jun-27</v>
      </c>
    </row>
    <row r="23" spans="1:15" ht="22" customHeight="1">
      <c r="A23" s="23">
        <f>EDATE(Assumptions!$B$5,9)</f>
        <v>46569</v>
      </c>
      <c r="B23" s="24">
        <f>SUMIFS('Case calculations'!$P$6:$P$205,'Case calculations'!$B$6:$B$205,"INITIAL",'Case calculations'!$L$6:$L$205,"&gt;="&amp;A23,'Case calculations'!$L$6:$L$205,"&lt;"&amp;EDATE(A23,1))</f>
        <v>0</v>
      </c>
      <c r="C23" s="24">
        <f>SUMIFS('Case calculations'!$P$6:$P$205,'Case calculations'!$B$6:$B$205,"RECON",'Case calculations'!$L$6:$L$205,"&gt;="&amp;A23,'Case calculations'!$L$6:$L$205,"&lt;"&amp;EDATE(A23,1))</f>
        <v>0</v>
      </c>
      <c r="D23" s="24">
        <f>SUMIFS('Case calculations'!$P$6:$P$205,'Case calculations'!$B$6:$B$205,"HEARING",'Case calculations'!$L$6:$L$205,"&gt;="&amp;A23,'Case calculations'!$L$6:$L$205,"&lt;"&amp;EDATE(A23,1))</f>
        <v>0</v>
      </c>
      <c r="E23" s="24">
        <f t="shared" si="0"/>
        <v>0</v>
      </c>
      <c r="F23" s="10">
        <f>SUMIFS('Cash flows'!$F$6:$F$605,'Cash flows'!$C$6:$C$605,"INITIAL",'Cash flows'!$G$6:$G$605,"&gt;="&amp;A23,'Cash flows'!$G$6:$G$605,"&lt;"&amp;EDATE(A23,1))</f>
        <v>0</v>
      </c>
      <c r="G23" s="10">
        <f>SUMIFS('Cash flows'!$F$6:$F$605,'Cash flows'!$C$6:$C$605,"RECON",'Cash flows'!$G$6:$G$605,"&gt;="&amp;A23,'Cash flows'!$G$6:$G$605,"&lt;"&amp;EDATE(A23,1))</f>
        <v>0</v>
      </c>
      <c r="H23" s="10">
        <f>SUMIFS('Cash flows'!$F$6:$F$605,'Cash flows'!$C$6:$C$605,"HEARING",'Cash flows'!$G$6:$G$605,"&gt;="&amp;A23,'Cash flows'!$G$6:$G$605,"&lt;"&amp;EDATE(A23,1))</f>
        <v>0</v>
      </c>
      <c r="I23" s="10">
        <f t="shared" si="1"/>
        <v>0</v>
      </c>
      <c r="J23" s="25">
        <f>E23/Assumptions!$B$33</f>
        <v>0</v>
      </c>
      <c r="K23" s="25">
        <f>Assumptions!$B$34</f>
        <v>1</v>
      </c>
      <c r="L23" s="25">
        <f t="shared" si="2"/>
        <v>0</v>
      </c>
      <c r="M23" s="1">
        <f t="shared" si="3"/>
        <v>0</v>
      </c>
      <c r="N23" s="7" t="str">
        <f>IF(L23&gt;0,EDATE(A23,-Assumptions!$B$35),"")</f>
        <v/>
      </c>
      <c r="O23" s="1" t="str">
        <f t="shared" si="4"/>
        <v>Jul-27</v>
      </c>
    </row>
    <row r="24" spans="1:15" ht="22" customHeight="1">
      <c r="A24" s="23">
        <f>EDATE(Assumptions!$B$5,10)</f>
        <v>46600</v>
      </c>
      <c r="B24" s="24">
        <f>SUMIFS('Case calculations'!$P$6:$P$205,'Case calculations'!$B$6:$B$205,"INITIAL",'Case calculations'!$L$6:$L$205,"&gt;="&amp;A24,'Case calculations'!$L$6:$L$205,"&lt;"&amp;EDATE(A24,1))</f>
        <v>0</v>
      </c>
      <c r="C24" s="24">
        <f>SUMIFS('Case calculations'!$P$6:$P$205,'Case calculations'!$B$6:$B$205,"RECON",'Case calculations'!$L$6:$L$205,"&gt;="&amp;A24,'Case calculations'!$L$6:$L$205,"&lt;"&amp;EDATE(A24,1))</f>
        <v>7.1999999999999993</v>
      </c>
      <c r="D24" s="24">
        <f>SUMIFS('Case calculations'!$P$6:$P$205,'Case calculations'!$B$6:$B$205,"HEARING",'Case calculations'!$L$6:$L$205,"&gt;="&amp;A24,'Case calculations'!$L$6:$L$205,"&lt;"&amp;EDATE(A24,1))</f>
        <v>0</v>
      </c>
      <c r="E24" s="24">
        <f t="shared" si="0"/>
        <v>7.1999999999999993</v>
      </c>
      <c r="F24" s="10">
        <f>SUMIFS('Cash flows'!$F$6:$F$605,'Cash flows'!$C$6:$C$605,"INITIAL",'Cash flows'!$G$6:$G$605,"&gt;="&amp;A24,'Cash flows'!$G$6:$G$605,"&lt;"&amp;EDATE(A24,1))</f>
        <v>0</v>
      </c>
      <c r="G24" s="10">
        <f>SUMIFS('Cash flows'!$F$6:$F$605,'Cash flows'!$C$6:$C$605,"RECON",'Cash flows'!$G$6:$G$605,"&gt;="&amp;A24,'Cash flows'!$G$6:$G$605,"&lt;"&amp;EDATE(A24,1))</f>
        <v>0</v>
      </c>
      <c r="H24" s="10">
        <f>SUMIFS('Cash flows'!$F$6:$F$605,'Cash flows'!$C$6:$C$605,"HEARING",'Cash flows'!$G$6:$G$605,"&gt;="&amp;A24,'Cash flows'!$G$6:$G$605,"&lt;"&amp;EDATE(A24,1))</f>
        <v>0</v>
      </c>
      <c r="I24" s="10">
        <f t="shared" si="1"/>
        <v>0</v>
      </c>
      <c r="J24" s="25">
        <f>E24/Assumptions!$B$33</f>
        <v>0.36</v>
      </c>
      <c r="K24" s="25">
        <f>Assumptions!$B$34</f>
        <v>1</v>
      </c>
      <c r="L24" s="25">
        <f t="shared" si="2"/>
        <v>0</v>
      </c>
      <c r="M24" s="1">
        <f t="shared" si="3"/>
        <v>0</v>
      </c>
      <c r="N24" s="7" t="str">
        <f>IF(L24&gt;0,EDATE(A24,-Assumptions!$B$35),"")</f>
        <v/>
      </c>
      <c r="O24" s="1" t="str">
        <f t="shared" si="4"/>
        <v>Aug-27</v>
      </c>
    </row>
    <row r="25" spans="1:15" ht="22" customHeight="1">
      <c r="A25" s="23">
        <f>EDATE(Assumptions!$B$5,11)</f>
        <v>46631</v>
      </c>
      <c r="B25" s="24">
        <f>SUMIFS('Case calculations'!$P$6:$P$205,'Case calculations'!$B$6:$B$205,"INITIAL",'Case calculations'!$L$6:$L$205,"&gt;="&amp;A25,'Case calculations'!$L$6:$L$205,"&lt;"&amp;EDATE(A25,1))</f>
        <v>0</v>
      </c>
      <c r="C25" s="24">
        <f>SUMIFS('Case calculations'!$P$6:$P$205,'Case calculations'!$B$6:$B$205,"RECON",'Case calculations'!$L$6:$L$205,"&gt;="&amp;A25,'Case calculations'!$L$6:$L$205,"&lt;"&amp;EDATE(A25,1))</f>
        <v>7.1999999999999993</v>
      </c>
      <c r="D25" s="24">
        <f>SUMIFS('Case calculations'!$P$6:$P$205,'Case calculations'!$B$6:$B$205,"HEARING",'Case calculations'!$L$6:$L$205,"&gt;="&amp;A25,'Case calculations'!$L$6:$L$205,"&lt;"&amp;EDATE(A25,1))</f>
        <v>0</v>
      </c>
      <c r="E25" s="24">
        <f t="shared" si="0"/>
        <v>7.1999999999999993</v>
      </c>
      <c r="F25" s="10">
        <f>SUMIFS('Cash flows'!$F$6:$F$605,'Cash flows'!$C$6:$C$605,"INITIAL",'Cash flows'!$G$6:$G$605,"&gt;="&amp;A25,'Cash flows'!$G$6:$G$605,"&lt;"&amp;EDATE(A25,1))</f>
        <v>0</v>
      </c>
      <c r="G25" s="10">
        <f>SUMIFS('Cash flows'!$F$6:$F$605,'Cash flows'!$C$6:$C$605,"RECON",'Cash flows'!$G$6:$G$605,"&gt;="&amp;A25,'Cash flows'!$G$6:$G$605,"&lt;"&amp;EDATE(A25,1))</f>
        <v>0</v>
      </c>
      <c r="H25" s="10">
        <f>SUMIFS('Cash flows'!$F$6:$F$605,'Cash flows'!$C$6:$C$605,"HEARING",'Cash flows'!$G$6:$G$605,"&gt;="&amp;A25,'Cash flows'!$G$6:$G$605,"&lt;"&amp;EDATE(A25,1))</f>
        <v>0</v>
      </c>
      <c r="I25" s="10">
        <f t="shared" si="1"/>
        <v>0</v>
      </c>
      <c r="J25" s="25">
        <f>E25/Assumptions!$B$33</f>
        <v>0.36</v>
      </c>
      <c r="K25" s="25">
        <f>Assumptions!$B$34</f>
        <v>1</v>
      </c>
      <c r="L25" s="25">
        <f t="shared" si="2"/>
        <v>0</v>
      </c>
      <c r="M25" s="1">
        <f t="shared" si="3"/>
        <v>0</v>
      </c>
      <c r="N25" s="7" t="str">
        <f>IF(L25&gt;0,EDATE(A25,-Assumptions!$B$35),"")</f>
        <v/>
      </c>
      <c r="O25" s="1" t="str">
        <f t="shared" si="4"/>
        <v>Sep-27</v>
      </c>
    </row>
    <row r="26" spans="1:15" ht="22" customHeight="1">
      <c r="A26" s="23">
        <f>EDATE(Assumptions!$B$5,12)</f>
        <v>46661</v>
      </c>
      <c r="B26" s="24">
        <f>SUMIFS('Case calculations'!$P$6:$P$205,'Case calculations'!$B$6:$B$205,"INITIAL",'Case calculations'!$L$6:$L$205,"&gt;="&amp;A26,'Case calculations'!$L$6:$L$205,"&lt;"&amp;EDATE(A26,1))</f>
        <v>0</v>
      </c>
      <c r="C26" s="24">
        <f>SUMIFS('Case calculations'!$P$6:$P$205,'Case calculations'!$B$6:$B$205,"RECON",'Case calculations'!$L$6:$L$205,"&gt;="&amp;A26,'Case calculations'!$L$6:$L$205,"&lt;"&amp;EDATE(A26,1))</f>
        <v>3.6000000000000005</v>
      </c>
      <c r="D26" s="24">
        <f>SUMIFS('Case calculations'!$P$6:$P$205,'Case calculations'!$B$6:$B$205,"HEARING",'Case calculations'!$L$6:$L$205,"&gt;="&amp;A26,'Case calculations'!$L$6:$L$205,"&lt;"&amp;EDATE(A26,1))</f>
        <v>0</v>
      </c>
      <c r="E26" s="24">
        <f t="shared" si="0"/>
        <v>3.6000000000000005</v>
      </c>
      <c r="F26" s="10">
        <f>SUMIFS('Cash flows'!$F$6:$F$605,'Cash flows'!$C$6:$C$605,"INITIAL",'Cash flows'!$G$6:$G$605,"&gt;="&amp;A26,'Cash flows'!$G$6:$G$605,"&lt;"&amp;EDATE(A26,1))</f>
        <v>0</v>
      </c>
      <c r="G26" s="10">
        <f>SUMIFS('Cash flows'!$F$6:$F$605,'Cash flows'!$C$6:$C$605,"RECON",'Cash flows'!$G$6:$G$605,"&gt;="&amp;A26,'Cash flows'!$G$6:$G$605,"&lt;"&amp;EDATE(A26,1))</f>
        <v>4590.0000000000009</v>
      </c>
      <c r="H26" s="10">
        <f>SUMIFS('Cash flows'!$F$6:$F$605,'Cash flows'!$C$6:$C$605,"HEARING",'Cash flows'!$G$6:$G$605,"&gt;="&amp;A26,'Cash flows'!$G$6:$G$605,"&lt;"&amp;EDATE(A26,1))</f>
        <v>0</v>
      </c>
      <c r="I26" s="10">
        <f t="shared" si="1"/>
        <v>4590.0000000000009</v>
      </c>
      <c r="J26" s="25">
        <f>E26/Assumptions!$B$33</f>
        <v>0.18000000000000002</v>
      </c>
      <c r="K26" s="25">
        <f>Assumptions!$B$34</f>
        <v>1</v>
      </c>
      <c r="L26" s="25">
        <f t="shared" si="2"/>
        <v>0</v>
      </c>
      <c r="M26" s="1">
        <f t="shared" si="3"/>
        <v>0</v>
      </c>
      <c r="N26" s="7" t="str">
        <f>IF(L26&gt;0,EDATE(A26,-Assumptions!$B$35),"")</f>
        <v/>
      </c>
      <c r="O26" s="1" t="str">
        <f t="shared" si="4"/>
        <v>Oct-27</v>
      </c>
    </row>
    <row r="27" spans="1:15" ht="22" customHeight="1">
      <c r="A27" s="23">
        <f>EDATE(Assumptions!$B$5,13)</f>
        <v>46692</v>
      </c>
      <c r="B27" s="24">
        <f>SUMIFS('Case calculations'!$P$6:$P$205,'Case calculations'!$B$6:$B$205,"INITIAL",'Case calculations'!$L$6:$L$205,"&gt;="&amp;A27,'Case calculations'!$L$6:$L$205,"&lt;"&amp;EDATE(A27,1))</f>
        <v>0</v>
      </c>
      <c r="C27" s="24">
        <f>SUMIFS('Case calculations'!$P$6:$P$205,'Case calculations'!$B$6:$B$205,"RECON",'Case calculations'!$L$6:$L$205,"&gt;="&amp;A27,'Case calculations'!$L$6:$L$205,"&lt;"&amp;EDATE(A27,1))</f>
        <v>0</v>
      </c>
      <c r="D27" s="24">
        <f>SUMIFS('Case calculations'!$P$6:$P$205,'Case calculations'!$B$6:$B$205,"HEARING",'Case calculations'!$L$6:$L$205,"&gt;="&amp;A27,'Case calculations'!$L$6:$L$205,"&lt;"&amp;EDATE(A27,1))</f>
        <v>0</v>
      </c>
      <c r="E27" s="24">
        <f t="shared" si="0"/>
        <v>0</v>
      </c>
      <c r="F27" s="10">
        <f>SUMIFS('Cash flows'!$F$6:$F$605,'Cash flows'!$C$6:$C$605,"INITIAL",'Cash flows'!$G$6:$G$605,"&gt;="&amp;A27,'Cash flows'!$G$6:$G$605,"&lt;"&amp;EDATE(A27,1))</f>
        <v>0</v>
      </c>
      <c r="G27" s="10">
        <f>SUMIFS('Cash flows'!$F$6:$F$605,'Cash flows'!$C$6:$C$605,"RECON",'Cash flows'!$G$6:$G$605,"&gt;="&amp;A27,'Cash flows'!$G$6:$G$605,"&lt;"&amp;EDATE(A27,1))</f>
        <v>4590.0000000000009</v>
      </c>
      <c r="H27" s="10">
        <f>SUMIFS('Cash flows'!$F$6:$F$605,'Cash flows'!$C$6:$C$605,"HEARING",'Cash flows'!$G$6:$G$605,"&gt;="&amp;A27,'Cash flows'!$G$6:$G$605,"&lt;"&amp;EDATE(A27,1))</f>
        <v>17820.000000000004</v>
      </c>
      <c r="I27" s="10">
        <f t="shared" si="1"/>
        <v>22410.000000000004</v>
      </c>
      <c r="J27" s="25">
        <f>E27/Assumptions!$B$33</f>
        <v>0</v>
      </c>
      <c r="K27" s="25">
        <f>Assumptions!$B$34</f>
        <v>1</v>
      </c>
      <c r="L27" s="25">
        <f t="shared" si="2"/>
        <v>0</v>
      </c>
      <c r="M27" s="1">
        <f t="shared" si="3"/>
        <v>0</v>
      </c>
      <c r="N27" s="7" t="str">
        <f>IF(L27&gt;0,EDATE(A27,-Assumptions!$B$35),"")</f>
        <v/>
      </c>
      <c r="O27" s="1" t="str">
        <f t="shared" si="4"/>
        <v>Nov-27</v>
      </c>
    </row>
    <row r="28" spans="1:15" ht="22" customHeight="1">
      <c r="A28" s="23">
        <f>EDATE(Assumptions!$B$5,14)</f>
        <v>46722</v>
      </c>
      <c r="B28" s="24">
        <f>SUMIFS('Case calculations'!$P$6:$P$205,'Case calculations'!$B$6:$B$205,"INITIAL",'Case calculations'!$L$6:$L$205,"&gt;="&amp;A28,'Case calculations'!$L$6:$L$205,"&lt;"&amp;EDATE(A28,1))</f>
        <v>0</v>
      </c>
      <c r="C28" s="24">
        <f>SUMIFS('Case calculations'!$P$6:$P$205,'Case calculations'!$B$6:$B$205,"RECON",'Case calculations'!$L$6:$L$205,"&gt;="&amp;A28,'Case calculations'!$L$6:$L$205,"&lt;"&amp;EDATE(A28,1))</f>
        <v>0</v>
      </c>
      <c r="D28" s="24">
        <f>SUMIFS('Case calculations'!$P$6:$P$205,'Case calculations'!$B$6:$B$205,"HEARING",'Case calculations'!$L$6:$L$205,"&gt;="&amp;A28,'Case calculations'!$L$6:$L$205,"&lt;"&amp;EDATE(A28,1))</f>
        <v>0</v>
      </c>
      <c r="E28" s="24">
        <f t="shared" si="0"/>
        <v>0</v>
      </c>
      <c r="F28" s="10">
        <f>SUMIFS('Cash flows'!$F$6:$F$605,'Cash flows'!$C$6:$C$605,"INITIAL",'Cash flows'!$G$6:$G$605,"&gt;="&amp;A28,'Cash flows'!$G$6:$G$605,"&lt;"&amp;EDATE(A28,1))</f>
        <v>0</v>
      </c>
      <c r="G28" s="10">
        <f>SUMIFS('Cash flows'!$F$6:$F$605,'Cash flows'!$C$6:$C$605,"RECON",'Cash flows'!$G$6:$G$605,"&gt;="&amp;A28,'Cash flows'!$G$6:$G$605,"&lt;"&amp;EDATE(A28,1))</f>
        <v>2295.0000000000005</v>
      </c>
      <c r="H28" s="10">
        <f>SUMIFS('Cash flows'!$F$6:$F$605,'Cash flows'!$C$6:$C$605,"HEARING",'Cash flows'!$G$6:$G$605,"&gt;="&amp;A28,'Cash flows'!$G$6:$G$605,"&lt;"&amp;EDATE(A28,1))</f>
        <v>17820.000000000004</v>
      </c>
      <c r="I28" s="10">
        <f t="shared" si="1"/>
        <v>20115.000000000004</v>
      </c>
      <c r="J28" s="25">
        <f>E28/Assumptions!$B$33</f>
        <v>0</v>
      </c>
      <c r="K28" s="25">
        <f>Assumptions!$B$34</f>
        <v>1</v>
      </c>
      <c r="L28" s="25">
        <f t="shared" si="2"/>
        <v>0</v>
      </c>
      <c r="M28" s="1">
        <f t="shared" si="3"/>
        <v>0</v>
      </c>
      <c r="N28" s="7" t="str">
        <f>IF(L28&gt;0,EDATE(A28,-Assumptions!$B$35),"")</f>
        <v/>
      </c>
      <c r="O28" s="1" t="str">
        <f t="shared" si="4"/>
        <v>Dec-27</v>
      </c>
    </row>
    <row r="29" spans="1:15" ht="22" customHeight="1">
      <c r="A29" s="23">
        <f>EDATE(Assumptions!$B$5,15)</f>
        <v>46753</v>
      </c>
      <c r="B29" s="24">
        <f>SUMIFS('Case calculations'!$P$6:$P$205,'Case calculations'!$B$6:$B$205,"INITIAL",'Case calculations'!$L$6:$L$205,"&gt;="&amp;A29,'Case calculations'!$L$6:$L$205,"&lt;"&amp;EDATE(A29,1))</f>
        <v>0</v>
      </c>
      <c r="C29" s="24">
        <f>SUMIFS('Case calculations'!$P$6:$P$205,'Case calculations'!$B$6:$B$205,"RECON",'Case calculations'!$L$6:$L$205,"&gt;="&amp;A29,'Case calculations'!$L$6:$L$205,"&lt;"&amp;EDATE(A29,1))</f>
        <v>0</v>
      </c>
      <c r="D29" s="24">
        <f>SUMIFS('Case calculations'!$P$6:$P$205,'Case calculations'!$B$6:$B$205,"HEARING",'Case calculations'!$L$6:$L$205,"&gt;="&amp;A29,'Case calculations'!$L$6:$L$205,"&lt;"&amp;EDATE(A29,1))</f>
        <v>0</v>
      </c>
      <c r="E29" s="24">
        <f t="shared" si="0"/>
        <v>0</v>
      </c>
      <c r="F29" s="10">
        <f>SUMIFS('Cash flows'!$F$6:$F$605,'Cash flows'!$C$6:$C$605,"INITIAL",'Cash flows'!$G$6:$G$605,"&gt;="&amp;A29,'Cash flows'!$G$6:$G$605,"&lt;"&amp;EDATE(A29,1))</f>
        <v>0</v>
      </c>
      <c r="G29" s="10">
        <f>SUMIFS('Cash flows'!$F$6:$F$605,'Cash flows'!$C$6:$C$605,"RECON",'Cash flows'!$G$6:$G$605,"&gt;="&amp;A29,'Cash flows'!$G$6:$G$605,"&lt;"&amp;EDATE(A29,1))</f>
        <v>0</v>
      </c>
      <c r="H29" s="10">
        <f>SUMIFS('Cash flows'!$F$6:$F$605,'Cash flows'!$C$6:$C$605,"HEARING",'Cash flows'!$G$6:$G$605,"&gt;="&amp;A29,'Cash flows'!$G$6:$G$605,"&lt;"&amp;EDATE(A29,1))</f>
        <v>8910.0000000000018</v>
      </c>
      <c r="I29" s="10">
        <f t="shared" si="1"/>
        <v>8910.0000000000018</v>
      </c>
      <c r="J29" s="25">
        <f>E29/Assumptions!$B$33</f>
        <v>0</v>
      </c>
      <c r="K29" s="25">
        <f>Assumptions!$B$34</f>
        <v>1</v>
      </c>
      <c r="L29" s="25">
        <f t="shared" si="2"/>
        <v>0</v>
      </c>
      <c r="M29" s="1">
        <f t="shared" si="3"/>
        <v>0</v>
      </c>
      <c r="N29" s="7" t="str">
        <f>IF(L29&gt;0,EDATE(A29,-Assumptions!$B$35),"")</f>
        <v/>
      </c>
      <c r="O29" s="1" t="str">
        <f t="shared" si="4"/>
        <v>Jan-28</v>
      </c>
    </row>
    <row r="30" spans="1:15" ht="22" customHeight="1">
      <c r="A30" s="23">
        <f>EDATE(Assumptions!$B$5,16)</f>
        <v>46784</v>
      </c>
      <c r="B30" s="24">
        <f>SUMIFS('Case calculations'!$P$6:$P$205,'Case calculations'!$B$6:$B$205,"INITIAL",'Case calculations'!$L$6:$L$205,"&gt;="&amp;A30,'Case calculations'!$L$6:$L$205,"&lt;"&amp;EDATE(A30,1))</f>
        <v>0</v>
      </c>
      <c r="C30" s="24">
        <f>SUMIFS('Case calculations'!$P$6:$P$205,'Case calculations'!$B$6:$B$205,"RECON",'Case calculations'!$L$6:$L$205,"&gt;="&amp;A30,'Case calculations'!$L$6:$L$205,"&lt;"&amp;EDATE(A30,1))</f>
        <v>0</v>
      </c>
      <c r="D30" s="24">
        <f>SUMIFS('Case calculations'!$P$6:$P$205,'Case calculations'!$B$6:$B$205,"HEARING",'Case calculations'!$L$6:$L$205,"&gt;="&amp;A30,'Case calculations'!$L$6:$L$205,"&lt;"&amp;EDATE(A30,1))</f>
        <v>0</v>
      </c>
      <c r="E30" s="24">
        <f t="shared" si="0"/>
        <v>0</v>
      </c>
      <c r="F30" s="10">
        <f>SUMIFS('Cash flows'!$F$6:$F$605,'Cash flows'!$C$6:$C$605,"INITIAL",'Cash flows'!$G$6:$G$605,"&gt;="&amp;A30,'Cash flows'!$G$6:$G$605,"&lt;"&amp;EDATE(A30,1))</f>
        <v>0</v>
      </c>
      <c r="G30" s="10">
        <f>SUMIFS('Cash flows'!$F$6:$F$605,'Cash flows'!$C$6:$C$605,"RECON",'Cash flows'!$G$6:$G$605,"&gt;="&amp;A30,'Cash flows'!$G$6:$G$605,"&lt;"&amp;EDATE(A30,1))</f>
        <v>0</v>
      </c>
      <c r="H30" s="10">
        <f>SUMIFS('Cash flows'!$F$6:$F$605,'Cash flows'!$C$6:$C$605,"HEARING",'Cash flows'!$G$6:$G$605,"&gt;="&amp;A30,'Cash flows'!$G$6:$G$605,"&lt;"&amp;EDATE(A30,1))</f>
        <v>0</v>
      </c>
      <c r="I30" s="10">
        <f t="shared" si="1"/>
        <v>0</v>
      </c>
      <c r="J30" s="25">
        <f>E30/Assumptions!$B$33</f>
        <v>0</v>
      </c>
      <c r="K30" s="25">
        <f>Assumptions!$B$34</f>
        <v>1</v>
      </c>
      <c r="L30" s="25">
        <f t="shared" si="2"/>
        <v>0</v>
      </c>
      <c r="M30" s="1">
        <f t="shared" si="3"/>
        <v>0</v>
      </c>
      <c r="N30" s="7" t="str">
        <f>IF(L30&gt;0,EDATE(A30,-Assumptions!$B$35),"")</f>
        <v/>
      </c>
      <c r="O30" s="1" t="str">
        <f t="shared" si="4"/>
        <v>Feb-28</v>
      </c>
    </row>
    <row r="31" spans="1:15" ht="22" customHeight="1">
      <c r="A31" s="23">
        <f>EDATE(Assumptions!$B$5,17)</f>
        <v>46813</v>
      </c>
      <c r="B31" s="24">
        <f>SUMIFS('Case calculations'!$P$6:$P$205,'Case calculations'!$B$6:$B$205,"INITIAL",'Case calculations'!$L$6:$L$205,"&gt;="&amp;A31,'Case calculations'!$L$6:$L$205,"&lt;"&amp;EDATE(A31,1))</f>
        <v>0</v>
      </c>
      <c r="C31" s="24">
        <f>SUMIFS('Case calculations'!$P$6:$P$205,'Case calculations'!$B$6:$B$205,"RECON",'Case calculations'!$L$6:$L$205,"&gt;="&amp;A31,'Case calculations'!$L$6:$L$205,"&lt;"&amp;EDATE(A31,1))</f>
        <v>0</v>
      </c>
      <c r="D31" s="24">
        <f>SUMIFS('Case calculations'!$P$6:$P$205,'Case calculations'!$B$6:$B$205,"HEARING",'Case calculations'!$L$6:$L$205,"&gt;="&amp;A31,'Case calculations'!$L$6:$L$205,"&lt;"&amp;EDATE(A31,1))</f>
        <v>0</v>
      </c>
      <c r="E31" s="24">
        <f t="shared" si="0"/>
        <v>0</v>
      </c>
      <c r="F31" s="10">
        <f>SUMIFS('Cash flows'!$F$6:$F$605,'Cash flows'!$C$6:$C$605,"INITIAL",'Cash flows'!$G$6:$G$605,"&gt;="&amp;A31,'Cash flows'!$G$6:$G$605,"&lt;"&amp;EDATE(A31,1))</f>
        <v>0</v>
      </c>
      <c r="G31" s="10">
        <f>SUMIFS('Cash flows'!$F$6:$F$605,'Cash flows'!$C$6:$C$605,"RECON",'Cash flows'!$G$6:$G$605,"&gt;="&amp;A31,'Cash flows'!$G$6:$G$605,"&lt;"&amp;EDATE(A31,1))</f>
        <v>0</v>
      </c>
      <c r="H31" s="10">
        <f>SUMIFS('Cash flows'!$F$6:$F$605,'Cash flows'!$C$6:$C$605,"HEARING",'Cash flows'!$G$6:$G$605,"&gt;="&amp;A31,'Cash flows'!$G$6:$G$605,"&lt;"&amp;EDATE(A31,1))</f>
        <v>0</v>
      </c>
      <c r="I31" s="10">
        <f t="shared" si="1"/>
        <v>0</v>
      </c>
      <c r="J31" s="25">
        <f>E31/Assumptions!$B$33</f>
        <v>0</v>
      </c>
      <c r="K31" s="25">
        <f>Assumptions!$B$34</f>
        <v>1</v>
      </c>
      <c r="L31" s="25">
        <f t="shared" si="2"/>
        <v>0</v>
      </c>
      <c r="M31" s="1">
        <f t="shared" si="3"/>
        <v>0</v>
      </c>
      <c r="N31" s="7" t="str">
        <f>IF(L31&gt;0,EDATE(A31,-Assumptions!$B$35),"")</f>
        <v/>
      </c>
      <c r="O31" s="1" t="str">
        <f t="shared" si="4"/>
        <v>Mar-28</v>
      </c>
    </row>
    <row r="32" spans="1:15" ht="22" customHeight="1">
      <c r="A32" s="23">
        <f>EDATE(Assumptions!$B$5,18)</f>
        <v>46844</v>
      </c>
      <c r="B32" s="24">
        <f>SUMIFS('Case calculations'!$P$6:$P$205,'Case calculations'!$B$6:$B$205,"INITIAL",'Case calculations'!$L$6:$L$205,"&gt;="&amp;A32,'Case calculations'!$L$6:$L$205,"&lt;"&amp;EDATE(A32,1))</f>
        <v>0</v>
      </c>
      <c r="C32" s="24">
        <f>SUMIFS('Case calculations'!$P$6:$P$205,'Case calculations'!$B$6:$B$205,"RECON",'Case calculations'!$L$6:$L$205,"&gt;="&amp;A32,'Case calculations'!$L$6:$L$205,"&lt;"&amp;EDATE(A32,1))</f>
        <v>0</v>
      </c>
      <c r="D32" s="24">
        <f>SUMIFS('Case calculations'!$P$6:$P$205,'Case calculations'!$B$6:$B$205,"HEARING",'Case calculations'!$L$6:$L$205,"&gt;="&amp;A32,'Case calculations'!$L$6:$L$205,"&lt;"&amp;EDATE(A32,1))</f>
        <v>0</v>
      </c>
      <c r="E32" s="24">
        <f t="shared" si="0"/>
        <v>0</v>
      </c>
      <c r="F32" s="10">
        <f>SUMIFS('Cash flows'!$F$6:$F$605,'Cash flows'!$C$6:$C$605,"INITIAL",'Cash flows'!$G$6:$G$605,"&gt;="&amp;A32,'Cash flows'!$G$6:$G$605,"&lt;"&amp;EDATE(A32,1))</f>
        <v>0</v>
      </c>
      <c r="G32" s="10">
        <f>SUMIFS('Cash flows'!$F$6:$F$605,'Cash flows'!$C$6:$C$605,"RECON",'Cash flows'!$G$6:$G$605,"&gt;="&amp;A32,'Cash flows'!$G$6:$G$605,"&lt;"&amp;EDATE(A32,1))</f>
        <v>0</v>
      </c>
      <c r="H32" s="10">
        <f>SUMIFS('Cash flows'!$F$6:$F$605,'Cash flows'!$C$6:$C$605,"HEARING",'Cash flows'!$G$6:$G$605,"&gt;="&amp;A32,'Cash flows'!$G$6:$G$605,"&lt;"&amp;EDATE(A32,1))</f>
        <v>0</v>
      </c>
      <c r="I32" s="10">
        <f t="shared" si="1"/>
        <v>0</v>
      </c>
      <c r="J32" s="25">
        <f>E32/Assumptions!$B$33</f>
        <v>0</v>
      </c>
      <c r="K32" s="25">
        <f>Assumptions!$B$34</f>
        <v>1</v>
      </c>
      <c r="L32" s="25">
        <f t="shared" si="2"/>
        <v>0</v>
      </c>
      <c r="M32" s="1">
        <f t="shared" si="3"/>
        <v>0</v>
      </c>
      <c r="N32" s="7" t="str">
        <f>IF(L32&gt;0,EDATE(A32,-Assumptions!$B$35),"")</f>
        <v/>
      </c>
      <c r="O32" s="1" t="str">
        <f t="shared" si="4"/>
        <v>Apr-28</v>
      </c>
    </row>
    <row r="33" spans="1:15" ht="22" customHeight="1">
      <c r="A33" s="23">
        <f>EDATE(Assumptions!$B$5,19)</f>
        <v>46874</v>
      </c>
      <c r="B33" s="24">
        <f>SUMIFS('Case calculations'!$P$6:$P$205,'Case calculations'!$B$6:$B$205,"INITIAL",'Case calculations'!$L$6:$L$205,"&gt;="&amp;A33,'Case calculations'!$L$6:$L$205,"&lt;"&amp;EDATE(A33,1))</f>
        <v>0</v>
      </c>
      <c r="C33" s="24">
        <f>SUMIFS('Case calculations'!$P$6:$P$205,'Case calculations'!$B$6:$B$205,"RECON",'Case calculations'!$L$6:$L$205,"&gt;="&amp;A33,'Case calculations'!$L$6:$L$205,"&lt;"&amp;EDATE(A33,1))</f>
        <v>0</v>
      </c>
      <c r="D33" s="24">
        <f>SUMIFS('Case calculations'!$P$6:$P$205,'Case calculations'!$B$6:$B$205,"HEARING",'Case calculations'!$L$6:$L$205,"&gt;="&amp;A33,'Case calculations'!$L$6:$L$205,"&lt;"&amp;EDATE(A33,1))</f>
        <v>0</v>
      </c>
      <c r="E33" s="24">
        <f t="shared" si="0"/>
        <v>0</v>
      </c>
      <c r="F33" s="10">
        <f>SUMIFS('Cash flows'!$F$6:$F$605,'Cash flows'!$C$6:$C$605,"INITIAL",'Cash flows'!$G$6:$G$605,"&gt;="&amp;A33,'Cash flows'!$G$6:$G$605,"&lt;"&amp;EDATE(A33,1))</f>
        <v>0</v>
      </c>
      <c r="G33" s="10">
        <f>SUMIFS('Cash flows'!$F$6:$F$605,'Cash flows'!$C$6:$C$605,"RECON",'Cash flows'!$G$6:$G$605,"&gt;="&amp;A33,'Cash flows'!$G$6:$G$605,"&lt;"&amp;EDATE(A33,1))</f>
        <v>0</v>
      </c>
      <c r="H33" s="10">
        <f>SUMIFS('Cash flows'!$F$6:$F$605,'Cash flows'!$C$6:$C$605,"HEARING",'Cash flows'!$G$6:$G$605,"&gt;="&amp;A33,'Cash flows'!$G$6:$G$605,"&lt;"&amp;EDATE(A33,1))</f>
        <v>0</v>
      </c>
      <c r="I33" s="10">
        <f t="shared" si="1"/>
        <v>0</v>
      </c>
      <c r="J33" s="25">
        <f>E33/Assumptions!$B$33</f>
        <v>0</v>
      </c>
      <c r="K33" s="25">
        <f>Assumptions!$B$34</f>
        <v>1</v>
      </c>
      <c r="L33" s="25">
        <f t="shared" si="2"/>
        <v>0</v>
      </c>
      <c r="M33" s="1">
        <f t="shared" si="3"/>
        <v>0</v>
      </c>
      <c r="N33" s="7" t="str">
        <f>IF(L33&gt;0,EDATE(A33,-Assumptions!$B$35),"")</f>
        <v/>
      </c>
      <c r="O33" s="1" t="str">
        <f t="shared" si="4"/>
        <v>May-28</v>
      </c>
    </row>
    <row r="34" spans="1:15" ht="22" customHeight="1">
      <c r="A34" s="23">
        <f>EDATE(Assumptions!$B$5,20)</f>
        <v>46905</v>
      </c>
      <c r="B34" s="24">
        <f>SUMIFS('Case calculations'!$P$6:$P$205,'Case calculations'!$B$6:$B$205,"INITIAL",'Case calculations'!$L$6:$L$205,"&gt;="&amp;A34,'Case calculations'!$L$6:$L$205,"&lt;"&amp;EDATE(A34,1))</f>
        <v>5.508</v>
      </c>
      <c r="C34" s="24">
        <f>SUMIFS('Case calculations'!$P$6:$P$205,'Case calculations'!$B$6:$B$205,"RECON",'Case calculations'!$L$6:$L$205,"&gt;="&amp;A34,'Case calculations'!$L$6:$L$205,"&lt;"&amp;EDATE(A34,1))</f>
        <v>0</v>
      </c>
      <c r="D34" s="24">
        <f>SUMIFS('Case calculations'!$P$6:$P$205,'Case calculations'!$B$6:$B$205,"HEARING",'Case calculations'!$L$6:$L$205,"&gt;="&amp;A34,'Case calculations'!$L$6:$L$205,"&lt;"&amp;EDATE(A34,1))</f>
        <v>0</v>
      </c>
      <c r="E34" s="24">
        <f t="shared" si="0"/>
        <v>5.508</v>
      </c>
      <c r="F34" s="10">
        <f>SUMIFS('Cash flows'!$F$6:$F$605,'Cash flows'!$C$6:$C$605,"INITIAL",'Cash flows'!$G$6:$G$605,"&gt;="&amp;A34,'Cash flows'!$G$6:$G$605,"&lt;"&amp;EDATE(A34,1))</f>
        <v>0</v>
      </c>
      <c r="G34" s="10">
        <f>SUMIFS('Cash flows'!$F$6:$F$605,'Cash flows'!$C$6:$C$605,"RECON",'Cash flows'!$G$6:$G$605,"&gt;="&amp;A34,'Cash flows'!$G$6:$G$605,"&lt;"&amp;EDATE(A34,1))</f>
        <v>0</v>
      </c>
      <c r="H34" s="10">
        <f>SUMIFS('Cash flows'!$F$6:$F$605,'Cash flows'!$C$6:$C$605,"HEARING",'Cash flows'!$G$6:$G$605,"&gt;="&amp;A34,'Cash flows'!$G$6:$G$605,"&lt;"&amp;EDATE(A34,1))</f>
        <v>0</v>
      </c>
      <c r="I34" s="10">
        <f t="shared" si="1"/>
        <v>0</v>
      </c>
      <c r="J34" s="25">
        <f>E34/Assumptions!$B$33</f>
        <v>0.27539999999999998</v>
      </c>
      <c r="K34" s="25">
        <f>Assumptions!$B$34</f>
        <v>1</v>
      </c>
      <c r="L34" s="25">
        <f t="shared" si="2"/>
        <v>0</v>
      </c>
      <c r="M34" s="1">
        <f t="shared" si="3"/>
        <v>0</v>
      </c>
      <c r="N34" s="7" t="str">
        <f>IF(L34&gt;0,EDATE(A34,-Assumptions!$B$35),"")</f>
        <v/>
      </c>
      <c r="O34" s="1" t="str">
        <f t="shared" si="4"/>
        <v>Jun-28</v>
      </c>
    </row>
    <row r="35" spans="1:15" ht="22" customHeight="1">
      <c r="A35" s="23">
        <f>EDATE(Assumptions!$B$5,21)</f>
        <v>46935</v>
      </c>
      <c r="B35" s="24">
        <f>SUMIFS('Case calculations'!$P$6:$P$205,'Case calculations'!$B$6:$B$205,"INITIAL",'Case calculations'!$L$6:$L$205,"&gt;="&amp;A35,'Case calculations'!$L$6:$L$205,"&lt;"&amp;EDATE(A35,1))</f>
        <v>5.508</v>
      </c>
      <c r="C35" s="24">
        <f>SUMIFS('Case calculations'!$P$6:$P$205,'Case calculations'!$B$6:$B$205,"RECON",'Case calculations'!$L$6:$L$205,"&gt;="&amp;A35,'Case calculations'!$L$6:$L$205,"&lt;"&amp;EDATE(A35,1))</f>
        <v>0</v>
      </c>
      <c r="D35" s="24">
        <f>SUMIFS('Case calculations'!$P$6:$P$205,'Case calculations'!$B$6:$B$205,"HEARING",'Case calculations'!$L$6:$L$205,"&gt;="&amp;A35,'Case calculations'!$L$6:$L$205,"&lt;"&amp;EDATE(A35,1))</f>
        <v>0</v>
      </c>
      <c r="E35" s="24">
        <f t="shared" si="0"/>
        <v>5.508</v>
      </c>
      <c r="F35" s="10">
        <f>SUMIFS('Cash flows'!$F$6:$F$605,'Cash flows'!$C$6:$C$605,"INITIAL",'Cash flows'!$G$6:$G$605,"&gt;="&amp;A35,'Cash flows'!$G$6:$G$605,"&lt;"&amp;EDATE(A35,1))</f>
        <v>0</v>
      </c>
      <c r="G35" s="10">
        <f>SUMIFS('Cash flows'!$F$6:$F$605,'Cash flows'!$C$6:$C$605,"RECON",'Cash flows'!$G$6:$G$605,"&gt;="&amp;A35,'Cash flows'!$G$6:$G$605,"&lt;"&amp;EDATE(A35,1))</f>
        <v>0</v>
      </c>
      <c r="H35" s="10">
        <f>SUMIFS('Cash flows'!$F$6:$F$605,'Cash flows'!$C$6:$C$605,"HEARING",'Cash flows'!$G$6:$G$605,"&gt;="&amp;A35,'Cash flows'!$G$6:$G$605,"&lt;"&amp;EDATE(A35,1))</f>
        <v>0</v>
      </c>
      <c r="I35" s="10">
        <f t="shared" si="1"/>
        <v>0</v>
      </c>
      <c r="J35" s="25">
        <f>E35/Assumptions!$B$33</f>
        <v>0.27539999999999998</v>
      </c>
      <c r="K35" s="25">
        <f>Assumptions!$B$34</f>
        <v>1</v>
      </c>
      <c r="L35" s="25">
        <f t="shared" si="2"/>
        <v>0</v>
      </c>
      <c r="M35" s="1">
        <f t="shared" si="3"/>
        <v>0</v>
      </c>
      <c r="N35" s="7" t="str">
        <f>IF(L35&gt;0,EDATE(A35,-Assumptions!$B$35),"")</f>
        <v/>
      </c>
      <c r="O35" s="1" t="str">
        <f t="shared" si="4"/>
        <v>Jul-28</v>
      </c>
    </row>
    <row r="36" spans="1:15" ht="22" customHeight="1">
      <c r="A36" s="23">
        <f>EDATE(Assumptions!$B$5,22)</f>
        <v>46966</v>
      </c>
      <c r="B36" s="24">
        <f>SUMIFS('Case calculations'!$P$6:$P$205,'Case calculations'!$B$6:$B$205,"INITIAL",'Case calculations'!$L$6:$L$205,"&gt;="&amp;A36,'Case calculations'!$L$6:$L$205,"&lt;"&amp;EDATE(A36,1))</f>
        <v>2.7540000000000004</v>
      </c>
      <c r="C36" s="24">
        <f>SUMIFS('Case calculations'!$P$6:$P$205,'Case calculations'!$B$6:$B$205,"RECON",'Case calculations'!$L$6:$L$205,"&gt;="&amp;A36,'Case calculations'!$L$6:$L$205,"&lt;"&amp;EDATE(A36,1))</f>
        <v>0</v>
      </c>
      <c r="D36" s="24">
        <f>SUMIFS('Case calculations'!$P$6:$P$205,'Case calculations'!$B$6:$B$205,"HEARING",'Case calculations'!$L$6:$L$205,"&gt;="&amp;A36,'Case calculations'!$L$6:$L$205,"&lt;"&amp;EDATE(A36,1))</f>
        <v>0</v>
      </c>
      <c r="E36" s="24">
        <f t="shared" si="0"/>
        <v>2.7540000000000004</v>
      </c>
      <c r="F36" s="10">
        <f>SUMIFS('Cash flows'!$F$6:$F$605,'Cash flows'!$C$6:$C$605,"INITIAL",'Cash flows'!$G$6:$G$605,"&gt;="&amp;A36,'Cash flows'!$G$6:$G$605,"&lt;"&amp;EDATE(A36,1))</f>
        <v>0</v>
      </c>
      <c r="G36" s="10">
        <f>SUMIFS('Cash flows'!$F$6:$F$605,'Cash flows'!$C$6:$C$605,"RECON",'Cash flows'!$G$6:$G$605,"&gt;="&amp;A36,'Cash flows'!$G$6:$G$605,"&lt;"&amp;EDATE(A36,1))</f>
        <v>0</v>
      </c>
      <c r="H36" s="10">
        <f>SUMIFS('Cash flows'!$F$6:$F$605,'Cash flows'!$C$6:$C$605,"HEARING",'Cash flows'!$G$6:$G$605,"&gt;="&amp;A36,'Cash flows'!$G$6:$G$605,"&lt;"&amp;EDATE(A36,1))</f>
        <v>0</v>
      </c>
      <c r="I36" s="10">
        <f t="shared" si="1"/>
        <v>0</v>
      </c>
      <c r="J36" s="25">
        <f>E36/Assumptions!$B$33</f>
        <v>0.13770000000000002</v>
      </c>
      <c r="K36" s="25">
        <f>Assumptions!$B$34</f>
        <v>1</v>
      </c>
      <c r="L36" s="25">
        <f t="shared" si="2"/>
        <v>0</v>
      </c>
      <c r="M36" s="1">
        <f t="shared" si="3"/>
        <v>0</v>
      </c>
      <c r="N36" s="7" t="str">
        <f>IF(L36&gt;0,EDATE(A36,-Assumptions!$B$35),"")</f>
        <v/>
      </c>
      <c r="O36" s="1" t="str">
        <f t="shared" si="4"/>
        <v>Aug-28</v>
      </c>
    </row>
    <row r="37" spans="1:15" ht="22" customHeight="1">
      <c r="A37" s="23">
        <f>EDATE(Assumptions!$B$5,23)</f>
        <v>46997</v>
      </c>
      <c r="B37" s="24">
        <f>SUMIFS('Case calculations'!$P$6:$P$205,'Case calculations'!$B$6:$B$205,"INITIAL",'Case calculations'!$L$6:$L$205,"&gt;="&amp;A37,'Case calculations'!$L$6:$L$205,"&lt;"&amp;EDATE(A37,1))</f>
        <v>0</v>
      </c>
      <c r="C37" s="24">
        <f>SUMIFS('Case calculations'!$P$6:$P$205,'Case calculations'!$B$6:$B$205,"RECON",'Case calculations'!$L$6:$L$205,"&gt;="&amp;A37,'Case calculations'!$L$6:$L$205,"&lt;"&amp;EDATE(A37,1))</f>
        <v>0</v>
      </c>
      <c r="D37" s="24">
        <f>SUMIFS('Case calculations'!$P$6:$P$205,'Case calculations'!$B$6:$B$205,"HEARING",'Case calculations'!$L$6:$L$205,"&gt;="&amp;A37,'Case calculations'!$L$6:$L$205,"&lt;"&amp;EDATE(A37,1))</f>
        <v>0</v>
      </c>
      <c r="E37" s="24">
        <f t="shared" si="0"/>
        <v>0</v>
      </c>
      <c r="F37" s="10">
        <f>SUMIFS('Cash flows'!$F$6:$F$605,'Cash flows'!$C$6:$C$605,"INITIAL",'Cash flows'!$G$6:$G$605,"&gt;="&amp;A37,'Cash flows'!$G$6:$G$605,"&lt;"&amp;EDATE(A37,1))</f>
        <v>0</v>
      </c>
      <c r="G37" s="10">
        <f>SUMIFS('Cash flows'!$F$6:$F$605,'Cash flows'!$C$6:$C$605,"RECON",'Cash flows'!$G$6:$G$605,"&gt;="&amp;A37,'Cash flows'!$G$6:$G$605,"&lt;"&amp;EDATE(A37,1))</f>
        <v>0</v>
      </c>
      <c r="H37" s="10">
        <f>SUMIFS('Cash flows'!$F$6:$F$605,'Cash flows'!$C$6:$C$605,"HEARING",'Cash flows'!$G$6:$G$605,"&gt;="&amp;A37,'Cash flows'!$G$6:$G$605,"&lt;"&amp;EDATE(A37,1))</f>
        <v>13632.300000000001</v>
      </c>
      <c r="I37" s="10">
        <f t="shared" si="1"/>
        <v>13632.300000000001</v>
      </c>
      <c r="J37" s="25">
        <f>E37/Assumptions!$B$33</f>
        <v>0</v>
      </c>
      <c r="K37" s="25">
        <f>Assumptions!$B$34</f>
        <v>1</v>
      </c>
      <c r="L37" s="25">
        <f t="shared" si="2"/>
        <v>0</v>
      </c>
      <c r="M37" s="1">
        <f t="shared" si="3"/>
        <v>0</v>
      </c>
      <c r="N37" s="7" t="str">
        <f>IF(L37&gt;0,EDATE(A37,-Assumptions!$B$35),"")</f>
        <v/>
      </c>
      <c r="O37" s="1" t="str">
        <f t="shared" si="4"/>
        <v>Sep-28</v>
      </c>
    </row>
    <row r="38" spans="1:15" ht="2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22" customHeight="1">
      <c r="A39" s="1" t="s">
        <v>41</v>
      </c>
      <c r="B39" s="23">
        <f>INDEX(A14:A37,MATCH(MAX(E14:E37),E14:E37,0))</f>
        <v>46357</v>
      </c>
      <c r="C39" s="1"/>
      <c r="D39" s="1" t="s">
        <v>42</v>
      </c>
      <c r="E39" s="1">
        <f>MAX(E14:E37)</f>
        <v>35</v>
      </c>
      <c r="F39" s="1"/>
      <c r="G39" s="1" t="s">
        <v>43</v>
      </c>
      <c r="H39" s="24">
        <f>SUMIFS('Case calculations'!P6:P205,'Case calculations'!L6:L205,"&gt;="&amp;Assumptions!$B$7)</f>
        <v>0</v>
      </c>
      <c r="I39" s="1"/>
      <c r="J39" s="1"/>
      <c r="K39" s="1"/>
      <c r="L39" s="1"/>
      <c r="M39" s="1"/>
      <c r="N39" s="1"/>
      <c r="O39" s="1"/>
    </row>
    <row r="40" spans="1:15" ht="22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22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2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22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22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22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22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2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2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2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2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2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2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2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2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2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2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2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2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35" customHeight="1">
      <c r="A60" s="32" t="s">
        <v>44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2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2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35" customHeight="1">
      <c r="A63" s="32" t="s">
        <v>45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2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2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2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2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2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2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2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2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2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2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</sheetData>
  <mergeCells count="3">
    <mergeCell ref="A3:O3"/>
    <mergeCell ref="A60:O60"/>
    <mergeCell ref="A63:O63"/>
  </mergeCells>
  <conditionalFormatting sqref="L14:L37">
    <cfRule type="cellIs" dxfId="2" priority="1" operator="greater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7324D"/>
  </sheetPr>
  <dimension ref="A1:H39"/>
  <sheetViews>
    <sheetView showGridLines="0" workbookViewId="0"/>
  </sheetViews>
  <sheetFormatPr baseColWidth="10" defaultColWidth="8.83203125" defaultRowHeight="14"/>
  <cols>
    <col min="1" max="1" width="31" customWidth="1"/>
    <col min="2" max="5" width="22" customWidth="1"/>
    <col min="6" max="8" width="17" customWidth="1"/>
  </cols>
  <sheetData>
    <row r="1" spans="1:8" ht="22" customHeight="1">
      <c r="A1" s="1"/>
      <c r="B1" s="1"/>
      <c r="C1" s="1"/>
      <c r="D1" s="1"/>
      <c r="E1" s="1"/>
      <c r="F1" s="1"/>
      <c r="G1" s="1"/>
      <c r="H1" s="1"/>
    </row>
    <row r="2" spans="1:8" ht="22" customHeight="1">
      <c r="A2" s="2" t="s">
        <v>46</v>
      </c>
      <c r="B2" s="1"/>
      <c r="C2" s="1"/>
      <c r="D2" s="1"/>
      <c r="E2" s="1"/>
      <c r="F2" s="1"/>
      <c r="G2" s="1"/>
      <c r="H2" s="1"/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22" customHeight="1">
      <c r="A5" s="1" t="s">
        <v>47</v>
      </c>
      <c r="B5" s="4" t="s">
        <v>48</v>
      </c>
      <c r="C5" s="1"/>
      <c r="D5" s="1" t="s">
        <v>49</v>
      </c>
      <c r="E5" s="1">
        <f>IF(COUNTIFS('Case calculations'!A6:A205,B5)&lt;&gt;1,0,MATCH(B5,'Case calculations'!A6:A205,0))</f>
        <v>1</v>
      </c>
      <c r="F5" s="1"/>
      <c r="G5" s="1"/>
      <c r="H5" s="1"/>
    </row>
    <row r="6" spans="1:8" ht="22" customHeight="1">
      <c r="A6" s="1"/>
      <c r="B6" s="1"/>
      <c r="C6" s="1"/>
      <c r="D6" s="1" t="s">
        <v>50</v>
      </c>
      <c r="E6" s="1" t="str">
        <f>IF(E5=0,"CHOOSE AN INITIAL CASE",IF(INDEX('Case calculations'!B6:B205,E5)&lt;&gt;"INITIAL","CHOOSE AN INITIAL CASE",INDEX('Case calculations'!C6:C205,E5)))</f>
        <v>OK</v>
      </c>
      <c r="F6" s="1"/>
      <c r="G6" s="1"/>
      <c r="H6" s="1"/>
    </row>
    <row r="7" spans="1:8" ht="22" customHeight="1">
      <c r="A7" s="1" t="s">
        <v>51</v>
      </c>
      <c r="B7" s="1"/>
      <c r="C7" s="7">
        <f>IF($E$6&lt;&gt;"OK","",INDEX('Case inputs'!D6:D205,$E$5))</f>
        <v>46204</v>
      </c>
      <c r="D7" s="1"/>
      <c r="E7" s="1"/>
      <c r="F7" s="1"/>
      <c r="G7" s="1"/>
      <c r="H7" s="1"/>
    </row>
    <row r="8" spans="1:8" ht="22" customHeight="1">
      <c r="A8" s="1" t="s">
        <v>52</v>
      </c>
      <c r="B8" s="1"/>
      <c r="C8" s="7">
        <f>IF($E$6&lt;&gt;"OK","",INDEX('Case calculations'!$I$6:$I$205,$E$5))</f>
        <v>46392</v>
      </c>
      <c r="D8" s="1"/>
      <c r="E8" s="1"/>
      <c r="F8" s="1"/>
      <c r="G8" s="1"/>
      <c r="H8" s="1"/>
    </row>
    <row r="9" spans="1:8" ht="22" customHeight="1">
      <c r="A9" s="1" t="s">
        <v>53</v>
      </c>
      <c r="B9" s="1"/>
      <c r="C9" s="7">
        <f>IF($E$6&lt;&gt;"OK","",INDEX('Case calculations'!$J$6:$J$205,$E$5))</f>
        <v>46635</v>
      </c>
      <c r="D9" s="1"/>
      <c r="E9" s="1"/>
      <c r="F9" s="1"/>
      <c r="G9" s="1"/>
      <c r="H9" s="1"/>
    </row>
    <row r="10" spans="1:8" ht="22" customHeight="1">
      <c r="A10" s="1" t="s">
        <v>54</v>
      </c>
      <c r="B10" s="1"/>
      <c r="C10" s="7">
        <f>IF($E$6&lt;&gt;"OK","",INDEX('Case calculations'!$K$6:$K$205,$E$5))</f>
        <v>46665</v>
      </c>
      <c r="D10" s="1"/>
      <c r="E10" s="1"/>
      <c r="F10" s="1"/>
      <c r="G10" s="1"/>
      <c r="H10" s="1"/>
    </row>
    <row r="11" spans="1:8" ht="22" customHeight="1">
      <c r="A11" s="1" t="s">
        <v>55</v>
      </c>
      <c r="B11" s="1"/>
      <c r="C11" s="7">
        <f>IF($E$6&lt;&gt;"OK","",INDEX('Case calculations'!$L$6:$L$205,$E$5))</f>
        <v>46909</v>
      </c>
      <c r="D11" s="1"/>
      <c r="E11" s="1"/>
      <c r="F11" s="1"/>
      <c r="G11" s="1"/>
      <c r="H11" s="1"/>
    </row>
    <row r="12" spans="1:8" ht="22" customHeight="1">
      <c r="A12" s="1" t="s">
        <v>56</v>
      </c>
      <c r="B12" s="1"/>
      <c r="C12" s="7">
        <f>IF($E$6&lt;&gt;"OK","",INDEX('Case calculations'!$M$6:$M$205,$E$5))</f>
        <v>46939</v>
      </c>
      <c r="D12" s="1"/>
      <c r="E12" s="1"/>
      <c r="F12" s="1"/>
      <c r="G12" s="1"/>
      <c r="H12" s="1"/>
    </row>
    <row r="13" spans="1:8" ht="22" customHeight="1">
      <c r="A13" s="1"/>
      <c r="B13" s="1"/>
      <c r="C13" s="1"/>
      <c r="D13" s="1"/>
      <c r="E13" s="1"/>
      <c r="F13" s="1"/>
      <c r="G13" s="1"/>
      <c r="H13" s="1"/>
    </row>
    <row r="14" spans="1:8" ht="22" customHeight="1">
      <c r="A14" s="1"/>
      <c r="B14" s="1"/>
      <c r="C14" s="1"/>
      <c r="D14" s="1"/>
      <c r="E14" s="1"/>
      <c r="F14" s="1"/>
      <c r="G14" s="1"/>
      <c r="H14" s="1"/>
    </row>
    <row r="15" spans="1:8" ht="42" customHeight="1">
      <c r="A15" s="3" t="s">
        <v>57</v>
      </c>
      <c r="B15" s="3" t="s">
        <v>58</v>
      </c>
      <c r="C15" s="3" t="s">
        <v>59</v>
      </c>
      <c r="D15" s="3" t="s">
        <v>60</v>
      </c>
      <c r="E15" s="3" t="s">
        <v>61</v>
      </c>
      <c r="F15" s="1"/>
      <c r="G15" s="1"/>
      <c r="H15" s="1"/>
    </row>
    <row r="16" spans="1:8" ht="22" customHeight="1">
      <c r="A16" s="1" t="s">
        <v>62</v>
      </c>
      <c r="B16" s="19">
        <f>IF($E$6&lt;&gt;"OK","",INDEX('Case calculations'!$N$6:$N$205,$E$5))</f>
        <v>0.15</v>
      </c>
      <c r="C16" s="10">
        <f>IF($E$6&lt;&gt;"OK","",Assumptions!$B$28)</f>
        <v>2000</v>
      </c>
      <c r="D16" s="10">
        <f>IF($E$6&lt;&gt;"OK","",SUMIFS('Cash flows'!F6:F605,'Cash flows'!A6:A605,$B$5,'Cash flows'!C6:C605,A16))</f>
        <v>300</v>
      </c>
      <c r="E16" s="7">
        <f>IF($E$6&lt;&gt;"OK","",INDEX('Case calculations'!$V$6:$V$205,$E$5))</f>
        <v>46423</v>
      </c>
      <c r="F16" s="1"/>
      <c r="G16" s="1"/>
      <c r="H16" s="1"/>
    </row>
    <row r="17" spans="1:8" ht="22" customHeight="1">
      <c r="A17" s="1" t="s">
        <v>63</v>
      </c>
      <c r="B17" s="19">
        <f>IF($E$6&lt;&gt;"OK","",INDEX('Case calculations'!$O$6:$O$205,$E$5))</f>
        <v>0.15300000000000002</v>
      </c>
      <c r="C17" s="10">
        <f>IF($E$6&lt;&gt;"OK","",Assumptions!$B$29)</f>
        <v>3000</v>
      </c>
      <c r="D17" s="10">
        <f>IF($E$6&lt;&gt;"OK","",SUMIFS('Cash flows'!F6:F605,'Cash flows'!A6:A605,$B$5,'Cash flows'!C6:C605,A17))</f>
        <v>459.00000000000006</v>
      </c>
      <c r="E17" s="7">
        <f>IF($E$6&lt;&gt;"OK","",INDEX('Case calculations'!$W$6:$W$205,$E$5))</f>
        <v>46665</v>
      </c>
      <c r="F17" s="1"/>
      <c r="G17" s="1"/>
      <c r="H17" s="1"/>
    </row>
    <row r="18" spans="1:8" ht="22" customHeight="1">
      <c r="A18" s="1" t="s">
        <v>64</v>
      </c>
      <c r="B18" s="19">
        <f>IF($E$6&lt;&gt;"OK","",INDEX('Case calculations'!$S$6:$S$205,$E$5))</f>
        <v>0.30294000000000004</v>
      </c>
      <c r="C18" s="10">
        <f>IF($E$6&lt;&gt;"OK","",Assumptions!$B$30)</f>
        <v>4500</v>
      </c>
      <c r="D18" s="10">
        <f>IF($E$6&lt;&gt;"OK","",SUMIFS('Cash flows'!F6:F605,'Cash flows'!A6:A605,$B$5,'Cash flows'!C6:C605,A18))</f>
        <v>1363.2300000000002</v>
      </c>
      <c r="E18" s="7">
        <f>IF($E$6&lt;&gt;"OK","",INDEX('Case calculations'!$X$6:$X$205,$E$5))</f>
        <v>47001</v>
      </c>
      <c r="F18" s="1"/>
      <c r="G18" s="1"/>
      <c r="H18" s="1"/>
    </row>
    <row r="19" spans="1:8" ht="22" customHeight="1">
      <c r="A19" s="1"/>
      <c r="B19" s="1"/>
      <c r="C19" s="1"/>
      <c r="D19" s="1"/>
      <c r="E19" s="1"/>
      <c r="F19" s="1"/>
      <c r="G19" s="1"/>
      <c r="H19" s="1"/>
    </row>
    <row r="20" spans="1:8" ht="22" customHeight="1">
      <c r="A20" s="1" t="s">
        <v>23</v>
      </c>
      <c r="B20" s="1"/>
      <c r="C20" s="1"/>
      <c r="D20" s="10">
        <f>IF($E$6&lt;&gt;"OK","",SUM(D16:D18))</f>
        <v>2122.2300000000005</v>
      </c>
      <c r="E20" s="1"/>
      <c r="F20" s="1"/>
      <c r="G20" s="1"/>
      <c r="H20" s="1"/>
    </row>
    <row r="21" spans="1:8" ht="22" customHeight="1">
      <c r="A21" s="1"/>
      <c r="B21" s="1"/>
      <c r="C21" s="1"/>
      <c r="D21" s="1"/>
      <c r="E21" s="1"/>
      <c r="F21" s="1"/>
      <c r="G21" s="1"/>
      <c r="H21" s="1"/>
    </row>
    <row r="22" spans="1:8" ht="22" customHeight="1">
      <c r="A22" s="1" t="s">
        <v>65</v>
      </c>
      <c r="B22" s="1"/>
      <c r="C22" s="19">
        <f>IF($E$6&lt;&gt;"OK","",INDEX('Case calculations'!$P$6:$P$205,$E$5))</f>
        <v>0.55080000000000007</v>
      </c>
      <c r="D22" s="1"/>
      <c r="E22" s="1"/>
      <c r="F22" s="1"/>
      <c r="G22" s="1"/>
      <c r="H22" s="1"/>
    </row>
    <row r="23" spans="1:8" ht="22" customHeight="1">
      <c r="A23" s="1" t="s">
        <v>66</v>
      </c>
      <c r="B23" s="1"/>
      <c r="C23" s="19">
        <f>IF($E$6&lt;&gt;"OK","",INDEX('Case calculations'!$Q$6:$Q$205,$E$5)+INDEX('Case calculations'!$R$6:$R$205,$E$5))</f>
        <v>0.14619999999999997</v>
      </c>
      <c r="D23" s="1"/>
      <c r="E23" s="1"/>
      <c r="F23" s="1"/>
      <c r="G23" s="1"/>
      <c r="H23" s="1"/>
    </row>
    <row r="24" spans="1:8" ht="22" customHeight="1">
      <c r="A24" s="1" t="s">
        <v>67</v>
      </c>
      <c r="B24" s="1"/>
      <c r="C24" s="19">
        <f>IF($E$6&lt;&gt;"OK","",INDEX('Case calculations'!$T$6:$T$205,$E$5))</f>
        <v>0.24786</v>
      </c>
      <c r="D24" s="1"/>
      <c r="E24" s="1"/>
      <c r="F24" s="1"/>
      <c r="G24" s="1"/>
      <c r="H24" s="1"/>
    </row>
    <row r="25" spans="1:8" ht="22" customHeight="1">
      <c r="A25" s="1" t="s">
        <v>68</v>
      </c>
      <c r="B25" s="1"/>
      <c r="C25" s="19">
        <f>IF($E$6&lt;&gt;"OK","",INDEX('Case calculations'!$U$6:$U$205,$E$5))</f>
        <v>1</v>
      </c>
      <c r="D25" s="1"/>
      <c r="E25" s="1"/>
      <c r="F25" s="1"/>
      <c r="G25" s="1"/>
      <c r="H25" s="1"/>
    </row>
    <row r="26" spans="1:8" ht="22" customHeight="1">
      <c r="A26" s="1"/>
      <c r="B26" s="1"/>
      <c r="C26" s="1"/>
      <c r="D26" s="1"/>
      <c r="E26" s="1"/>
      <c r="F26" s="1"/>
      <c r="G26" s="1"/>
      <c r="H26" s="1"/>
    </row>
    <row r="27" spans="1:8" ht="22" customHeight="1">
      <c r="A27" s="1"/>
      <c r="B27" s="1"/>
      <c r="C27" s="1"/>
      <c r="D27" s="1"/>
      <c r="E27" s="1"/>
      <c r="F27" s="1"/>
      <c r="G27" s="1"/>
      <c r="H27" s="1"/>
    </row>
    <row r="28" spans="1:8" ht="52" customHeight="1">
      <c r="A28" s="32" t="s">
        <v>69</v>
      </c>
      <c r="B28" s="29"/>
      <c r="C28" s="29"/>
      <c r="D28" s="29"/>
      <c r="E28" s="29"/>
      <c r="F28" s="29"/>
      <c r="G28" s="29"/>
      <c r="H28" s="29"/>
    </row>
    <row r="29" spans="1:8" ht="22" customHeight="1">
      <c r="A29" s="1"/>
      <c r="B29" s="1"/>
      <c r="C29" s="1"/>
      <c r="D29" s="1"/>
      <c r="E29" s="1"/>
      <c r="F29" s="1"/>
      <c r="G29" s="1"/>
      <c r="H29" s="1"/>
    </row>
    <row r="30" spans="1:8" ht="22" customHeight="1">
      <c r="A30" s="1"/>
      <c r="B30" s="1"/>
      <c r="C30" s="1"/>
      <c r="D30" s="1"/>
      <c r="E30" s="1"/>
      <c r="F30" s="1"/>
      <c r="G30" s="1"/>
      <c r="H30" s="1"/>
    </row>
    <row r="31" spans="1:8" ht="45" customHeight="1">
      <c r="A31" s="32" t="s">
        <v>70</v>
      </c>
      <c r="B31" s="29"/>
      <c r="C31" s="29"/>
      <c r="D31" s="29"/>
      <c r="E31" s="29"/>
      <c r="F31" s="29"/>
      <c r="G31" s="29"/>
      <c r="H31" s="29"/>
    </row>
    <row r="32" spans="1:8" ht="22" customHeight="1">
      <c r="A32" s="1"/>
      <c r="B32" s="1"/>
      <c r="C32" s="1"/>
      <c r="D32" s="1"/>
      <c r="E32" s="1"/>
      <c r="F32" s="1"/>
      <c r="G32" s="1"/>
      <c r="H32" s="1"/>
    </row>
    <row r="33" spans="1:8" ht="22" customHeight="1">
      <c r="A33" s="1"/>
      <c r="B33" s="1"/>
      <c r="C33" s="1"/>
      <c r="D33" s="1"/>
      <c r="E33" s="1"/>
      <c r="F33" s="1"/>
      <c r="G33" s="1"/>
      <c r="H33" s="1"/>
    </row>
    <row r="34" spans="1:8" ht="55" customHeight="1">
      <c r="A34" s="32" t="s">
        <v>71</v>
      </c>
      <c r="B34" s="29"/>
      <c r="C34" s="29"/>
      <c r="D34" s="29"/>
      <c r="E34" s="29"/>
      <c r="F34" s="29"/>
      <c r="G34" s="29"/>
      <c r="H34" s="29"/>
    </row>
    <row r="35" spans="1:8" ht="22" customHeight="1">
      <c r="A35" s="1"/>
      <c r="B35" s="1"/>
      <c r="C35" s="1"/>
      <c r="D35" s="1"/>
      <c r="E35" s="1"/>
      <c r="F35" s="1"/>
      <c r="G35" s="1"/>
      <c r="H35" s="1"/>
    </row>
    <row r="36" spans="1:8" ht="22" customHeight="1">
      <c r="A36" s="1"/>
      <c r="B36" s="1"/>
      <c r="C36" s="1"/>
      <c r="D36" s="1"/>
      <c r="E36" s="1"/>
      <c r="F36" s="1"/>
      <c r="G36" s="1"/>
      <c r="H36" s="1"/>
    </row>
    <row r="37" spans="1:8" ht="22" customHeight="1">
      <c r="A37" s="1"/>
      <c r="B37" s="1"/>
      <c r="C37" s="1"/>
      <c r="D37" s="1"/>
      <c r="E37" s="1"/>
      <c r="F37" s="1"/>
      <c r="G37" s="1"/>
      <c r="H37" s="1"/>
    </row>
    <row r="38" spans="1:8" ht="22" customHeight="1">
      <c r="A38" s="1"/>
      <c r="B38" s="1"/>
      <c r="C38" s="1"/>
      <c r="D38" s="1"/>
      <c r="E38" s="1"/>
      <c r="F38" s="1"/>
      <c r="G38" s="1"/>
      <c r="H38" s="1"/>
    </row>
    <row r="39" spans="1:8" ht="22" customHeight="1">
      <c r="A39" s="1"/>
      <c r="B39" s="1"/>
      <c r="C39" s="1"/>
      <c r="D39" s="1"/>
      <c r="E39" s="1"/>
      <c r="F39" s="1"/>
      <c r="G39" s="1"/>
      <c r="H39" s="1"/>
    </row>
  </sheetData>
  <mergeCells count="3">
    <mergeCell ref="A28:H28"/>
    <mergeCell ref="A31:H31"/>
    <mergeCell ref="A34:H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44FB0"/>
  </sheetPr>
  <dimension ref="A1:F48"/>
  <sheetViews>
    <sheetView showGridLines="0" workbookViewId="0"/>
  </sheetViews>
  <sheetFormatPr baseColWidth="10" defaultColWidth="8.83203125" defaultRowHeight="14"/>
  <cols>
    <col min="1" max="1" width="42" customWidth="1"/>
    <col min="2" max="2" width="19" customWidth="1"/>
    <col min="3" max="3" width="88" customWidth="1"/>
    <col min="4" max="6" width="17" customWidth="1"/>
  </cols>
  <sheetData>
    <row r="1" spans="1:6" ht="22" customHeight="1">
      <c r="A1" s="1"/>
      <c r="B1" s="1"/>
      <c r="C1" s="1"/>
      <c r="D1" s="1"/>
      <c r="E1" s="1"/>
      <c r="F1" s="1"/>
    </row>
    <row r="2" spans="1:6" ht="22" customHeight="1">
      <c r="A2" s="2" t="s">
        <v>72</v>
      </c>
      <c r="B2" s="1"/>
      <c r="C2" s="1"/>
      <c r="D2" s="1"/>
      <c r="E2" s="1"/>
      <c r="F2" s="1"/>
    </row>
    <row r="3" spans="1:6" ht="22" customHeight="1">
      <c r="A3" s="1"/>
      <c r="B3" s="1"/>
      <c r="C3" s="1"/>
      <c r="D3" s="1"/>
      <c r="E3" s="1"/>
      <c r="F3" s="1"/>
    </row>
    <row r="4" spans="1:6" ht="42" customHeight="1">
      <c r="A4" s="3" t="s">
        <v>73</v>
      </c>
      <c r="B4" s="3" t="s">
        <v>74</v>
      </c>
      <c r="C4" s="3" t="s">
        <v>75</v>
      </c>
      <c r="D4" s="1"/>
      <c r="E4" s="1"/>
      <c r="F4" s="1"/>
    </row>
    <row r="5" spans="1:6" ht="35" customHeight="1">
      <c r="A5" s="1" t="s">
        <v>76</v>
      </c>
      <c r="B5" s="6">
        <v>46296</v>
      </c>
      <c r="C5" s="5" t="s">
        <v>77</v>
      </c>
      <c r="D5" s="1"/>
      <c r="E5" s="1"/>
      <c r="F5" s="1"/>
    </row>
    <row r="6" spans="1:6" ht="35" customHeight="1">
      <c r="A6" s="1" t="s">
        <v>78</v>
      </c>
      <c r="B6" s="4">
        <v>24</v>
      </c>
      <c r="C6" s="5" t="s">
        <v>79</v>
      </c>
      <c r="D6" s="1"/>
      <c r="E6" s="1"/>
      <c r="F6" s="1"/>
    </row>
    <row r="7" spans="1:6" ht="35" customHeight="1">
      <c r="A7" s="1" t="s">
        <v>80</v>
      </c>
      <c r="B7" s="7">
        <f>EDATE(B5,B6)</f>
        <v>47027</v>
      </c>
      <c r="C7" s="5" t="s">
        <v>81</v>
      </c>
      <c r="D7" s="1"/>
      <c r="E7" s="1"/>
      <c r="F7" s="1"/>
    </row>
    <row r="8" spans="1:6" ht="22" customHeight="1">
      <c r="A8" s="1"/>
      <c r="B8" s="1"/>
      <c r="C8" s="1"/>
      <c r="D8" s="1"/>
      <c r="E8" s="1"/>
      <c r="F8" s="1"/>
    </row>
    <row r="9" spans="1:6" ht="22" customHeight="1">
      <c r="A9" s="1"/>
      <c r="B9" s="1"/>
      <c r="C9" s="1"/>
      <c r="D9" s="1"/>
      <c r="E9" s="1"/>
      <c r="F9" s="1"/>
    </row>
    <row r="10" spans="1:6" ht="35" customHeight="1">
      <c r="A10" s="1" t="s">
        <v>82</v>
      </c>
      <c r="B10" s="4">
        <v>188</v>
      </c>
      <c r="C10" s="5" t="s">
        <v>83</v>
      </c>
      <c r="D10" s="1"/>
      <c r="E10" s="1"/>
      <c r="F10" s="1"/>
    </row>
    <row r="11" spans="1:6" ht="35" customHeight="1">
      <c r="A11" s="1" t="s">
        <v>84</v>
      </c>
      <c r="B11" s="4">
        <v>212</v>
      </c>
      <c r="C11" s="5" t="s">
        <v>83</v>
      </c>
      <c r="D11" s="1"/>
      <c r="E11" s="1"/>
      <c r="F11" s="1"/>
    </row>
    <row r="12" spans="1:6" ht="35" customHeight="1">
      <c r="A12" s="1" t="s">
        <v>85</v>
      </c>
      <c r="B12" s="4">
        <v>1</v>
      </c>
      <c r="C12" s="5" t="s">
        <v>86</v>
      </c>
      <c r="D12" s="1"/>
      <c r="E12" s="1"/>
      <c r="F12" s="1"/>
    </row>
    <row r="13" spans="1:6" ht="35" customHeight="1">
      <c r="A13" s="1" t="s">
        <v>87</v>
      </c>
      <c r="B13" s="4">
        <v>1</v>
      </c>
      <c r="C13" s="5" t="s">
        <v>86</v>
      </c>
      <c r="D13" s="1"/>
      <c r="E13" s="1"/>
      <c r="F13" s="1"/>
    </row>
    <row r="14" spans="1:6" ht="35" customHeight="1">
      <c r="A14" s="1" t="s">
        <v>88</v>
      </c>
      <c r="B14" s="4">
        <v>1</v>
      </c>
      <c r="C14" s="5" t="s">
        <v>89</v>
      </c>
      <c r="D14" s="1"/>
      <c r="E14" s="1"/>
      <c r="F14" s="1"/>
    </row>
    <row r="15" spans="1:6" ht="35" customHeight="1">
      <c r="A15" s="1" t="s">
        <v>90</v>
      </c>
      <c r="B15" s="4">
        <v>1</v>
      </c>
      <c r="C15" s="5" t="s">
        <v>91</v>
      </c>
      <c r="D15" s="1"/>
      <c r="E15" s="1"/>
      <c r="F15" s="1"/>
    </row>
    <row r="16" spans="1:6" ht="35" customHeight="1">
      <c r="A16" s="1" t="s">
        <v>92</v>
      </c>
      <c r="B16" s="4">
        <v>2</v>
      </c>
      <c r="C16" s="5" t="s">
        <v>93</v>
      </c>
      <c r="D16" s="1"/>
      <c r="E16" s="1"/>
      <c r="F16" s="1"/>
    </row>
    <row r="17" spans="1:6" ht="35" customHeight="1">
      <c r="A17" s="1" t="s">
        <v>94</v>
      </c>
      <c r="B17" s="4">
        <v>2</v>
      </c>
      <c r="C17" s="5" t="s">
        <v>95</v>
      </c>
      <c r="D17" s="1"/>
      <c r="E17" s="1"/>
      <c r="F17" s="1"/>
    </row>
    <row r="18" spans="1:6" ht="35" customHeight="1">
      <c r="A18" s="1" t="s">
        <v>96</v>
      </c>
      <c r="B18" s="4">
        <v>0</v>
      </c>
      <c r="C18" s="5" t="s">
        <v>97</v>
      </c>
      <c r="D18" s="1"/>
      <c r="E18" s="1"/>
      <c r="F18" s="1"/>
    </row>
    <row r="19" spans="1:6" ht="22" customHeight="1">
      <c r="A19" s="1"/>
      <c r="B19" s="1"/>
      <c r="C19" s="1"/>
      <c r="D19" s="1"/>
      <c r="E19" s="1"/>
      <c r="F19" s="1"/>
    </row>
    <row r="20" spans="1:6" ht="22" customHeight="1">
      <c r="A20" s="1"/>
      <c r="B20" s="1"/>
      <c r="C20" s="1"/>
      <c r="D20" s="1"/>
      <c r="E20" s="1"/>
      <c r="F20" s="1"/>
    </row>
    <row r="21" spans="1:6" ht="35" customHeight="1">
      <c r="A21" s="1" t="s">
        <v>98</v>
      </c>
      <c r="B21" s="8">
        <f>'Matched history'!N6</f>
        <v>0.15</v>
      </c>
      <c r="C21" s="5" t="s">
        <v>99</v>
      </c>
      <c r="D21" s="1"/>
      <c r="E21" s="1"/>
      <c r="F21" s="1"/>
    </row>
    <row r="22" spans="1:6" ht="35" customHeight="1">
      <c r="A22" s="1" t="s">
        <v>100</v>
      </c>
      <c r="B22" s="8">
        <f>'Matched history'!N7</f>
        <v>0.2</v>
      </c>
      <c r="C22" s="5" t="s">
        <v>101</v>
      </c>
      <c r="D22" s="1"/>
      <c r="E22" s="1"/>
      <c r="F22" s="1"/>
    </row>
    <row r="23" spans="1:6" ht="35" customHeight="1">
      <c r="A23" s="1" t="s">
        <v>102</v>
      </c>
      <c r="B23" s="8">
        <f>'Matched history'!N8</f>
        <v>0.55000000000000004</v>
      </c>
      <c r="C23" s="5" t="s">
        <v>103</v>
      </c>
      <c r="D23" s="1"/>
      <c r="E23" s="1"/>
      <c r="F23" s="1"/>
    </row>
    <row r="24" spans="1:6" ht="35" customHeight="1">
      <c r="A24" s="1" t="s">
        <v>104</v>
      </c>
      <c r="B24" s="9">
        <v>0.9</v>
      </c>
      <c r="C24" s="5" t="s">
        <v>105</v>
      </c>
      <c r="D24" s="1"/>
      <c r="E24" s="1"/>
      <c r="F24" s="1"/>
    </row>
    <row r="25" spans="1:6" ht="35" customHeight="1">
      <c r="A25" s="1" t="s">
        <v>106</v>
      </c>
      <c r="B25" s="9">
        <v>0.9</v>
      </c>
      <c r="C25" s="5" t="s">
        <v>107</v>
      </c>
      <c r="D25" s="1"/>
      <c r="E25" s="1"/>
      <c r="F25" s="1"/>
    </row>
    <row r="26" spans="1:6" ht="22" customHeight="1">
      <c r="A26" s="1"/>
      <c r="B26" s="1"/>
      <c r="C26" s="1"/>
      <c r="D26" s="1"/>
      <c r="E26" s="1"/>
      <c r="F26" s="1"/>
    </row>
    <row r="27" spans="1:6" ht="22" customHeight="1">
      <c r="A27" s="1"/>
      <c r="B27" s="1"/>
      <c r="C27" s="1"/>
      <c r="D27" s="1"/>
      <c r="E27" s="1"/>
      <c r="F27" s="1"/>
    </row>
    <row r="28" spans="1:6" ht="35" customHeight="1">
      <c r="A28" s="1" t="s">
        <v>108</v>
      </c>
      <c r="B28" s="10">
        <f>'Matched history'!O6</f>
        <v>2000</v>
      </c>
      <c r="C28" s="5" t="s">
        <v>109</v>
      </c>
      <c r="D28" s="1"/>
      <c r="E28" s="1"/>
      <c r="F28" s="1"/>
    </row>
    <row r="29" spans="1:6" ht="35" customHeight="1">
      <c r="A29" s="1" t="s">
        <v>110</v>
      </c>
      <c r="B29" s="10">
        <f>'Matched history'!O7</f>
        <v>3000</v>
      </c>
      <c r="C29" s="5" t="s">
        <v>111</v>
      </c>
      <c r="D29" s="1"/>
      <c r="E29" s="1"/>
      <c r="F29" s="1"/>
    </row>
    <row r="30" spans="1:6" ht="35" customHeight="1">
      <c r="A30" s="1" t="s">
        <v>112</v>
      </c>
      <c r="B30" s="10">
        <f>'Matched history'!O8</f>
        <v>4500</v>
      </c>
      <c r="C30" s="5" t="s">
        <v>113</v>
      </c>
      <c r="D30" s="1"/>
      <c r="E30" s="1"/>
      <c r="F30" s="1"/>
    </row>
    <row r="31" spans="1:6" ht="22" customHeight="1">
      <c r="A31" s="1"/>
      <c r="B31" s="1"/>
      <c r="C31" s="1"/>
      <c r="D31" s="1"/>
      <c r="E31" s="1"/>
      <c r="F31" s="1"/>
    </row>
    <row r="32" spans="1:6" ht="22" customHeight="1">
      <c r="A32" s="1"/>
      <c r="B32" s="1"/>
      <c r="C32" s="1"/>
      <c r="D32" s="1"/>
      <c r="E32" s="1"/>
      <c r="F32" s="1"/>
    </row>
    <row r="33" spans="1:6" ht="35" customHeight="1">
      <c r="A33" s="1" t="s">
        <v>114</v>
      </c>
      <c r="B33" s="4">
        <v>20</v>
      </c>
      <c r="C33" s="5" t="s">
        <v>115</v>
      </c>
      <c r="D33" s="1"/>
      <c r="E33" s="1"/>
      <c r="F33" s="1"/>
    </row>
    <row r="34" spans="1:6" ht="35" customHeight="1">
      <c r="A34" s="1" t="s">
        <v>116</v>
      </c>
      <c r="B34" s="4">
        <v>1</v>
      </c>
      <c r="C34" s="5" t="s">
        <v>117</v>
      </c>
      <c r="D34" s="1"/>
      <c r="E34" s="1"/>
      <c r="F34" s="1"/>
    </row>
    <row r="35" spans="1:6" ht="35" customHeight="1">
      <c r="A35" s="1" t="s">
        <v>118</v>
      </c>
      <c r="B35" s="4">
        <v>2</v>
      </c>
      <c r="C35" s="5" t="s">
        <v>119</v>
      </c>
      <c r="D35" s="1"/>
      <c r="E35" s="1"/>
      <c r="F35" s="1"/>
    </row>
    <row r="36" spans="1:6" ht="22" customHeight="1">
      <c r="A36" s="1"/>
      <c r="B36" s="1"/>
      <c r="C36" s="1"/>
      <c r="D36" s="1"/>
      <c r="E36" s="1"/>
      <c r="F36" s="1"/>
    </row>
    <row r="37" spans="1:6" ht="22" customHeight="1">
      <c r="A37" s="1"/>
      <c r="B37" s="1"/>
      <c r="C37" s="1"/>
      <c r="D37" s="1"/>
      <c r="E37" s="1"/>
      <c r="F37" s="1"/>
    </row>
    <row r="38" spans="1:6" ht="22" customHeight="1">
      <c r="A38" s="1" t="s">
        <v>120</v>
      </c>
      <c r="B38" s="1" t="str">
        <f>IF(AND(ISNUMBER(B5),DAY(B5)=1,ISNUMBER(B6),B6=24,COUNT(B10:B18)=9,MIN(B10:B18)&gt;=0,COUNT(B21:B25)=5,MIN(B21:B25)&gt;=0,MAX(B21:B25)&lt;=1,COUNT(B28:B30)=3,MIN(B28:B30)&gt;=0,ISNUMBER(B33),B33&gt;0,ISNUMBER(B34),B34&gt;=0,ISNUMBER(B35),B35&gt;=0),"OK","REVIEW INPUTS")</f>
        <v>OK</v>
      </c>
      <c r="C38" s="1" t="s">
        <v>121</v>
      </c>
      <c r="D38" s="1"/>
      <c r="E38" s="1"/>
      <c r="F38" s="1"/>
    </row>
    <row r="39" spans="1:6" ht="22" customHeight="1">
      <c r="A39" s="1"/>
      <c r="B39" s="1"/>
      <c r="C39" s="1"/>
      <c r="D39" s="1"/>
      <c r="E39" s="1"/>
      <c r="F39" s="1"/>
    </row>
    <row r="40" spans="1:6" ht="22" customHeight="1">
      <c r="A40" s="1"/>
      <c r="B40" s="1"/>
      <c r="C40" s="1"/>
      <c r="D40" s="1"/>
      <c r="E40" s="1"/>
      <c r="F40" s="1"/>
    </row>
    <row r="41" spans="1:6" ht="90" customHeight="1">
      <c r="A41" s="32" t="s">
        <v>122</v>
      </c>
      <c r="B41" s="29"/>
      <c r="C41" s="29"/>
      <c r="D41" s="1"/>
      <c r="E41" s="1"/>
      <c r="F41" s="1"/>
    </row>
    <row r="42" spans="1:6" ht="22" customHeight="1">
      <c r="A42" s="1"/>
      <c r="B42" s="1"/>
      <c r="C42" s="1"/>
      <c r="D42" s="1"/>
      <c r="E42" s="1"/>
      <c r="F42" s="1"/>
    </row>
    <row r="43" spans="1:6" ht="22" customHeight="1">
      <c r="A43" s="1"/>
      <c r="B43" s="1"/>
      <c r="C43" s="1"/>
      <c r="D43" s="1"/>
      <c r="E43" s="1"/>
      <c r="F43" s="1"/>
    </row>
    <row r="44" spans="1:6" ht="52" customHeight="1">
      <c r="A44" s="32" t="s">
        <v>123</v>
      </c>
      <c r="B44" s="29"/>
      <c r="C44" s="29"/>
      <c r="D44" s="1"/>
      <c r="E44" s="1"/>
      <c r="F44" s="1"/>
    </row>
    <row r="45" spans="1:6" ht="22" customHeight="1">
      <c r="A45" s="1"/>
      <c r="B45" s="1"/>
      <c r="C45" s="1"/>
      <c r="D45" s="1"/>
      <c r="E45" s="1"/>
      <c r="F45" s="1"/>
    </row>
    <row r="46" spans="1:6" ht="22" customHeight="1">
      <c r="A46" s="1"/>
      <c r="B46" s="1"/>
      <c r="C46" s="1"/>
      <c r="D46" s="1"/>
      <c r="E46" s="1"/>
      <c r="F46" s="1"/>
    </row>
    <row r="47" spans="1:6" ht="22" customHeight="1">
      <c r="A47" s="1"/>
      <c r="B47" s="1"/>
      <c r="C47" s="1"/>
      <c r="D47" s="1"/>
      <c r="E47" s="1"/>
      <c r="F47" s="1"/>
    </row>
    <row r="48" spans="1:6" ht="22" customHeight="1">
      <c r="A48" s="1"/>
      <c r="B48" s="1"/>
      <c r="C48" s="1"/>
      <c r="D48" s="1"/>
      <c r="E48" s="1"/>
      <c r="F48" s="1"/>
    </row>
  </sheetData>
  <mergeCells count="2">
    <mergeCell ref="A41:C41"/>
    <mergeCell ref="A44:C44"/>
  </mergeCells>
  <dataValidations count="2">
    <dataValidation type="whole" operator="greaterThanOrEqual" sqref="B10:B18" xr:uid="{00000000-0002-0000-0300-000000000000}">
      <formula1>0</formula1>
    </dataValidation>
    <dataValidation type="decimal" sqref="B24:B25" xr:uid="{00000000-0002-0000-0300-000001000000}">
      <formula1>0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BD5DF"/>
  </sheetPr>
  <dimension ref="A1:X2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baseColWidth="10" defaultColWidth="8.83203125" defaultRowHeight="14"/>
  <cols>
    <col min="1" max="2" width="17" customWidth="1"/>
    <col min="3" max="3" width="26" customWidth="1"/>
    <col min="4" max="6" width="17" customWidth="1"/>
    <col min="7" max="7" width="29" customWidth="1"/>
    <col min="8" max="24" width="17" customWidth="1"/>
  </cols>
  <sheetData>
    <row r="1" spans="1:24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" customHeight="1">
      <c r="A2" s="2" t="s">
        <v>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" customHeight="1">
      <c r="A5" s="3" t="s">
        <v>125</v>
      </c>
      <c r="B5" s="3" t="s">
        <v>126</v>
      </c>
      <c r="C5" s="3" t="s">
        <v>127</v>
      </c>
      <c r="D5" s="3" t="s">
        <v>128</v>
      </c>
      <c r="E5" s="3" t="s">
        <v>129</v>
      </c>
      <c r="F5" s="3" t="s">
        <v>130</v>
      </c>
      <c r="G5" s="3" t="s">
        <v>131</v>
      </c>
      <c r="H5" s="3" t="s">
        <v>132</v>
      </c>
      <c r="I5" s="3" t="s">
        <v>52</v>
      </c>
      <c r="J5" s="3" t="s">
        <v>133</v>
      </c>
      <c r="K5" s="3" t="s">
        <v>134</v>
      </c>
      <c r="L5" s="3" t="s">
        <v>135</v>
      </c>
      <c r="M5" s="3" t="s">
        <v>136</v>
      </c>
      <c r="N5" s="3" t="s">
        <v>137</v>
      </c>
      <c r="O5" s="3" t="s">
        <v>138</v>
      </c>
      <c r="P5" s="3" t="s">
        <v>139</v>
      </c>
      <c r="Q5" s="3" t="s">
        <v>140</v>
      </c>
      <c r="R5" s="3" t="s">
        <v>141</v>
      </c>
      <c r="S5" s="3" t="s">
        <v>142</v>
      </c>
      <c r="T5" s="3" t="s">
        <v>143</v>
      </c>
      <c r="U5" s="3" t="s">
        <v>144</v>
      </c>
      <c r="V5" s="3" t="s">
        <v>145</v>
      </c>
      <c r="W5" s="3" t="s">
        <v>146</v>
      </c>
      <c r="X5" s="3" t="s">
        <v>147</v>
      </c>
    </row>
    <row r="6" spans="1:24" ht="22" customHeight="1">
      <c r="A6" s="11" t="str">
        <f>IF('Case inputs'!A6="","",'Case inputs'!A6)</f>
        <v>I-001</v>
      </c>
      <c r="B6" s="11" t="str">
        <f>IF(A6="","",'Case inputs'!C6)</f>
        <v>INITIAL</v>
      </c>
      <c r="C6" s="11" t="str">
        <f>IF('Case inputs'!I6="","",IF(Assumptions!$B$38&lt;&gt;"OK","ASSUMPTIONS INVALID",'Case inputs'!I6))</f>
        <v>OK</v>
      </c>
      <c r="D6" s="11">
        <f>IF(C6&lt;&gt;"OK","",VLOOKUP('Case inputs'!E6,Benchmarks!$A$6:$C$164,3,FALSE))</f>
        <v>8</v>
      </c>
      <c r="E6" s="11">
        <f>IF(C6&lt;&gt;"OK","",Assumptions!$B$5-'Case inputs'!D6)</f>
        <v>92</v>
      </c>
      <c r="F6" s="15">
        <f>IF(C6&lt;&gt;"OK","",IF(B6="INITIAL",'Case inputs'!D6+Assumptions!$B$10,IF(B6="RECON",'Case inputs'!D6+Assumptions!$B$11,EDATE('Case inputs'!D6,INT(D6))+ROUND(MOD(D6,1)*30.44,0))))</f>
        <v>46392</v>
      </c>
      <c r="G6" s="11" t="str">
        <f>IF(C6&lt;&gt;"OK","",IF(AND(B6="HEARING",'Case inputs'!F6&lt;&gt;"",'Case inputs'!F6&gt;=Assumptions!$B$5),"SCHEDULED",IF('Case inputs'!G6&lt;&gt;"","REVIEWED OVERRIDE",IF(F6&lt;Assumptions!$B$5,"OVERDUE: FUTURE WINDOW","BENCHMARK SCENARIO"))))</f>
        <v>BENCHMARK SCENARIO</v>
      </c>
      <c r="H6" s="15">
        <f>IF(C6&lt;&gt;"OK","",IF(G6="SCHEDULED",'Case inputs'!F6,IF('Case inputs'!G6&lt;&gt;"",'Case inputs'!G6,IF(F6&lt;Assumptions!$B$5,EDATE(Assumptions!$B$5,Assumptions!$B$17),F6))))</f>
        <v>46392</v>
      </c>
      <c r="I6" s="16">
        <f t="shared" ref="I6:I37" si="0">IF(C6&lt;&gt;"OK","",IF(B6="INITIAL",H6,""))</f>
        <v>46392</v>
      </c>
      <c r="J6" s="15">
        <f>IF(C6&lt;&gt;"OK","",IF(B6="INITIAL",EDATE(I6,Assumptions!$B$12)+Assumptions!$B$11,IF(B6="RECON",H6,"")))</f>
        <v>46635</v>
      </c>
      <c r="K6" s="15">
        <f>IF(C6&lt;&gt;"OK","",IF(B6="HEARING",'Case inputs'!D6,EDATE(J6,Assumptions!$B$13)))</f>
        <v>46665</v>
      </c>
      <c r="L6" s="15">
        <f>IF(C6&lt;&gt;"OK","",IF(G6="SCHEDULED",H6,EDATE(IF(B6="HEARING",H6,EDATE(K6,INT(D6))+ROUND(MOD(D6,1)*30.44,0)),Assumptions!$B$18)))</f>
        <v>46909</v>
      </c>
      <c r="M6" s="15">
        <f>IF(C6&lt;&gt;"OK","",EDATE(L6,Assumptions!$B$15))</f>
        <v>46939</v>
      </c>
      <c r="N6" s="17">
        <f>IF(C6&lt;&gt;"OK","",IF(B6="INITIAL",Assumptions!$B$21,0))</f>
        <v>0.15</v>
      </c>
      <c r="O6" s="17">
        <f>IF(C6&lt;&gt;"OK","",IF(B6="INITIAL",(1-Assumptions!$B$21)*Assumptions!$B$24*Assumptions!$B$22,IF(B6="RECON",Assumptions!$B$22,0)))</f>
        <v>0.15300000000000002</v>
      </c>
      <c r="P6" s="17">
        <f>IF(C6&lt;&gt;"OK","",IF(B6="INITIAL",(1-Assumptions!$B$21)*Assumptions!$B$24*(1-Assumptions!$B$22)*Assumptions!$B$25,IF(B6="RECON",(1-Assumptions!$B$22)*Assumptions!$B$25,1)))</f>
        <v>0.55080000000000007</v>
      </c>
      <c r="Q6" s="17">
        <f>IF(C6&lt;&gt;"OK","",IF(B6="INITIAL",(1-Assumptions!$B$21)*(1-Assumptions!$B$24),0))</f>
        <v>8.4999999999999978E-2</v>
      </c>
      <c r="R6" s="17">
        <f>IF(C6&lt;&gt;"OK","",IF(B6="INITIAL",(1-Assumptions!$B$21)*Assumptions!$B$24*(1-Assumptions!$B$22)*(1-Assumptions!$B$25),IF(B6="RECON",(1-Assumptions!$B$22)*(1-Assumptions!$B$25),0)))</f>
        <v>6.1199999999999997E-2</v>
      </c>
      <c r="S6" s="17">
        <f>IF(C6&lt;&gt;"OK","",P6*Assumptions!$B$23)</f>
        <v>0.30294000000000004</v>
      </c>
      <c r="T6" s="17">
        <f>IF(C6&lt;&gt;"OK","",P6*(1-Assumptions!$B$23))</f>
        <v>0.24786</v>
      </c>
      <c r="U6" s="18">
        <f t="shared" ref="U6:U37" si="1">IF(C6&lt;&gt;"OK","",SUM(N6:O6,Q6:T6))</f>
        <v>1</v>
      </c>
      <c r="V6" s="15">
        <f>IF(C6&lt;&gt;"OK","",IF(B6="INITIAL",EDATE(I6,Assumptions!$B$14),""))</f>
        <v>46423</v>
      </c>
      <c r="W6" s="15">
        <f>IF(C6&lt;&gt;"OK","",IF(B6="HEARING","",EDATE(J6,Assumptions!$B$14)))</f>
        <v>46665</v>
      </c>
      <c r="X6" s="15">
        <f>IF(C6&lt;&gt;"OK","",EDATE(M6,Assumptions!$B$16))</f>
        <v>47001</v>
      </c>
    </row>
    <row r="7" spans="1:24" ht="22" customHeight="1">
      <c r="A7" s="11" t="str">
        <f>IF('Case inputs'!A7="","",'Case inputs'!A7)</f>
        <v>I-002</v>
      </c>
      <c r="B7" s="11" t="str">
        <f>IF(A7="","",'Case inputs'!C7)</f>
        <v>INITIAL</v>
      </c>
      <c r="C7" s="11" t="str">
        <f>IF('Case inputs'!I7="","",IF(Assumptions!$B$38&lt;&gt;"OK","ASSUMPTIONS INVALID",'Case inputs'!I7))</f>
        <v>OK</v>
      </c>
      <c r="D7" s="11">
        <f>IF(C7&lt;&gt;"OK","",VLOOKUP('Case inputs'!E7,Benchmarks!$A$6:$C$164,3,FALSE))</f>
        <v>8</v>
      </c>
      <c r="E7" s="11">
        <f>IF(C7&lt;&gt;"OK","",Assumptions!$B$5-'Case inputs'!D7)</f>
        <v>92</v>
      </c>
      <c r="F7" s="15">
        <f>IF(C7&lt;&gt;"OK","",IF(B7="INITIAL",'Case inputs'!D7+Assumptions!$B$10,IF(B7="RECON",'Case inputs'!D7+Assumptions!$B$11,EDATE('Case inputs'!D7,INT(D7))+ROUND(MOD(D7,1)*30.44,0))))</f>
        <v>46392</v>
      </c>
      <c r="G7" s="11" t="str">
        <f>IF(C7&lt;&gt;"OK","",IF(AND(B7="HEARING",'Case inputs'!F7&lt;&gt;"",'Case inputs'!F7&gt;=Assumptions!$B$5),"SCHEDULED",IF('Case inputs'!G7&lt;&gt;"","REVIEWED OVERRIDE",IF(F7&lt;Assumptions!$B$5,"OVERDUE: FUTURE WINDOW","BENCHMARK SCENARIO"))))</f>
        <v>BENCHMARK SCENARIO</v>
      </c>
      <c r="H7" s="15">
        <f>IF(C7&lt;&gt;"OK","",IF(G7="SCHEDULED",'Case inputs'!F7,IF('Case inputs'!G7&lt;&gt;"",'Case inputs'!G7,IF(F7&lt;Assumptions!$B$5,EDATE(Assumptions!$B$5,Assumptions!$B$17),F7))))</f>
        <v>46392</v>
      </c>
      <c r="I7" s="16">
        <f t="shared" si="0"/>
        <v>46392</v>
      </c>
      <c r="J7" s="15">
        <f>IF(C7&lt;&gt;"OK","",IF(B7="INITIAL",EDATE(I7,Assumptions!$B$12)+Assumptions!$B$11,IF(B7="RECON",H7,"")))</f>
        <v>46635</v>
      </c>
      <c r="K7" s="15">
        <f>IF(C7&lt;&gt;"OK","",IF(B7="HEARING",'Case inputs'!D7,EDATE(J7,Assumptions!$B$13)))</f>
        <v>46665</v>
      </c>
      <c r="L7" s="15">
        <f>IF(C7&lt;&gt;"OK","",IF(G7="SCHEDULED",H7,EDATE(IF(B7="HEARING",H7,EDATE(K7,INT(D7))+ROUND(MOD(D7,1)*30.44,0)),Assumptions!$B$18)))</f>
        <v>46909</v>
      </c>
      <c r="M7" s="15">
        <f>IF(C7&lt;&gt;"OK","",EDATE(L7,Assumptions!$B$15))</f>
        <v>46939</v>
      </c>
      <c r="N7" s="17">
        <f>IF(C7&lt;&gt;"OK","",IF(B7="INITIAL",Assumptions!$B$21,0))</f>
        <v>0.15</v>
      </c>
      <c r="O7" s="17">
        <f>IF(C7&lt;&gt;"OK","",IF(B7="INITIAL",(1-Assumptions!$B$21)*Assumptions!$B$24*Assumptions!$B$22,IF(B7="RECON",Assumptions!$B$22,0)))</f>
        <v>0.15300000000000002</v>
      </c>
      <c r="P7" s="17">
        <f>IF(C7&lt;&gt;"OK","",IF(B7="INITIAL",(1-Assumptions!$B$21)*Assumptions!$B$24*(1-Assumptions!$B$22)*Assumptions!$B$25,IF(B7="RECON",(1-Assumptions!$B$22)*Assumptions!$B$25,1)))</f>
        <v>0.55080000000000007</v>
      </c>
      <c r="Q7" s="17">
        <f>IF(C7&lt;&gt;"OK","",IF(B7="INITIAL",(1-Assumptions!$B$21)*(1-Assumptions!$B$24),0))</f>
        <v>8.4999999999999978E-2</v>
      </c>
      <c r="R7" s="17">
        <f>IF(C7&lt;&gt;"OK","",IF(B7="INITIAL",(1-Assumptions!$B$21)*Assumptions!$B$24*(1-Assumptions!$B$22)*(1-Assumptions!$B$25),IF(B7="RECON",(1-Assumptions!$B$22)*(1-Assumptions!$B$25),0)))</f>
        <v>6.1199999999999997E-2</v>
      </c>
      <c r="S7" s="17">
        <f>IF(C7&lt;&gt;"OK","",P7*Assumptions!$B$23)</f>
        <v>0.30294000000000004</v>
      </c>
      <c r="T7" s="17">
        <f>IF(C7&lt;&gt;"OK","",P7*(1-Assumptions!$B$23))</f>
        <v>0.24786</v>
      </c>
      <c r="U7" s="18">
        <f t="shared" si="1"/>
        <v>1</v>
      </c>
      <c r="V7" s="15">
        <f>IF(C7&lt;&gt;"OK","",IF(B7="INITIAL",EDATE(I7,Assumptions!$B$14),""))</f>
        <v>46423</v>
      </c>
      <c r="W7" s="15">
        <f>IF(C7&lt;&gt;"OK","",IF(B7="HEARING","",EDATE(J7,Assumptions!$B$14)))</f>
        <v>46665</v>
      </c>
      <c r="X7" s="15">
        <f>IF(C7&lt;&gt;"OK","",EDATE(M7,Assumptions!$B$16))</f>
        <v>47001</v>
      </c>
    </row>
    <row r="8" spans="1:24" ht="22" customHeight="1">
      <c r="A8" s="11" t="str">
        <f>IF('Case inputs'!A8="","",'Case inputs'!A8)</f>
        <v>I-003</v>
      </c>
      <c r="B8" s="11" t="str">
        <f>IF(A8="","",'Case inputs'!C8)</f>
        <v>INITIAL</v>
      </c>
      <c r="C8" s="11" t="str">
        <f>IF('Case inputs'!I8="","",IF(Assumptions!$B$38&lt;&gt;"OK","ASSUMPTIONS INVALID",'Case inputs'!I8))</f>
        <v>OK</v>
      </c>
      <c r="D8" s="11">
        <f>IF(C8&lt;&gt;"OK","",VLOOKUP('Case inputs'!E8,Benchmarks!$A$6:$C$164,3,FALSE))</f>
        <v>8</v>
      </c>
      <c r="E8" s="11">
        <f>IF(C8&lt;&gt;"OK","",Assumptions!$B$5-'Case inputs'!D8)</f>
        <v>92</v>
      </c>
      <c r="F8" s="15">
        <f>IF(C8&lt;&gt;"OK","",IF(B8="INITIAL",'Case inputs'!D8+Assumptions!$B$10,IF(B8="RECON",'Case inputs'!D8+Assumptions!$B$11,EDATE('Case inputs'!D8,INT(D8))+ROUND(MOD(D8,1)*30.44,0))))</f>
        <v>46392</v>
      </c>
      <c r="G8" s="11" t="str">
        <f>IF(C8&lt;&gt;"OK","",IF(AND(B8="HEARING",'Case inputs'!F8&lt;&gt;"",'Case inputs'!F8&gt;=Assumptions!$B$5),"SCHEDULED",IF('Case inputs'!G8&lt;&gt;"","REVIEWED OVERRIDE",IF(F8&lt;Assumptions!$B$5,"OVERDUE: FUTURE WINDOW","BENCHMARK SCENARIO"))))</f>
        <v>BENCHMARK SCENARIO</v>
      </c>
      <c r="H8" s="15">
        <f>IF(C8&lt;&gt;"OK","",IF(G8="SCHEDULED",'Case inputs'!F8,IF('Case inputs'!G8&lt;&gt;"",'Case inputs'!G8,IF(F8&lt;Assumptions!$B$5,EDATE(Assumptions!$B$5,Assumptions!$B$17),F8))))</f>
        <v>46392</v>
      </c>
      <c r="I8" s="16">
        <f t="shared" si="0"/>
        <v>46392</v>
      </c>
      <c r="J8" s="15">
        <f>IF(C8&lt;&gt;"OK","",IF(B8="INITIAL",EDATE(I8,Assumptions!$B$12)+Assumptions!$B$11,IF(B8="RECON",H8,"")))</f>
        <v>46635</v>
      </c>
      <c r="K8" s="15">
        <f>IF(C8&lt;&gt;"OK","",IF(B8="HEARING",'Case inputs'!D8,EDATE(J8,Assumptions!$B$13)))</f>
        <v>46665</v>
      </c>
      <c r="L8" s="15">
        <f>IF(C8&lt;&gt;"OK","",IF(G8="SCHEDULED",H8,EDATE(IF(B8="HEARING",H8,EDATE(K8,INT(D8))+ROUND(MOD(D8,1)*30.44,0)),Assumptions!$B$18)))</f>
        <v>46909</v>
      </c>
      <c r="M8" s="15">
        <f>IF(C8&lt;&gt;"OK","",EDATE(L8,Assumptions!$B$15))</f>
        <v>46939</v>
      </c>
      <c r="N8" s="17">
        <f>IF(C8&lt;&gt;"OK","",IF(B8="INITIAL",Assumptions!$B$21,0))</f>
        <v>0.15</v>
      </c>
      <c r="O8" s="17">
        <f>IF(C8&lt;&gt;"OK","",IF(B8="INITIAL",(1-Assumptions!$B$21)*Assumptions!$B$24*Assumptions!$B$22,IF(B8="RECON",Assumptions!$B$22,0)))</f>
        <v>0.15300000000000002</v>
      </c>
      <c r="P8" s="17">
        <f>IF(C8&lt;&gt;"OK","",IF(B8="INITIAL",(1-Assumptions!$B$21)*Assumptions!$B$24*(1-Assumptions!$B$22)*Assumptions!$B$25,IF(B8="RECON",(1-Assumptions!$B$22)*Assumptions!$B$25,1)))</f>
        <v>0.55080000000000007</v>
      </c>
      <c r="Q8" s="17">
        <f>IF(C8&lt;&gt;"OK","",IF(B8="INITIAL",(1-Assumptions!$B$21)*(1-Assumptions!$B$24),0))</f>
        <v>8.4999999999999978E-2</v>
      </c>
      <c r="R8" s="17">
        <f>IF(C8&lt;&gt;"OK","",IF(B8="INITIAL",(1-Assumptions!$B$21)*Assumptions!$B$24*(1-Assumptions!$B$22)*(1-Assumptions!$B$25),IF(B8="RECON",(1-Assumptions!$B$22)*(1-Assumptions!$B$25),0)))</f>
        <v>6.1199999999999997E-2</v>
      </c>
      <c r="S8" s="17">
        <f>IF(C8&lt;&gt;"OK","",P8*Assumptions!$B$23)</f>
        <v>0.30294000000000004</v>
      </c>
      <c r="T8" s="17">
        <f>IF(C8&lt;&gt;"OK","",P8*(1-Assumptions!$B$23))</f>
        <v>0.24786</v>
      </c>
      <c r="U8" s="18">
        <f t="shared" si="1"/>
        <v>1</v>
      </c>
      <c r="V8" s="15">
        <f>IF(C8&lt;&gt;"OK","",IF(B8="INITIAL",EDATE(I8,Assumptions!$B$14),""))</f>
        <v>46423</v>
      </c>
      <c r="W8" s="15">
        <f>IF(C8&lt;&gt;"OK","",IF(B8="HEARING","",EDATE(J8,Assumptions!$B$14)))</f>
        <v>46665</v>
      </c>
      <c r="X8" s="15">
        <f>IF(C8&lt;&gt;"OK","",EDATE(M8,Assumptions!$B$16))</f>
        <v>47001</v>
      </c>
    </row>
    <row r="9" spans="1:24" ht="22" customHeight="1">
      <c r="A9" s="11" t="str">
        <f>IF('Case inputs'!A9="","",'Case inputs'!A9)</f>
        <v>I-004</v>
      </c>
      <c r="B9" s="11" t="str">
        <f>IF(A9="","",'Case inputs'!C9)</f>
        <v>INITIAL</v>
      </c>
      <c r="C9" s="11" t="str">
        <f>IF('Case inputs'!I9="","",IF(Assumptions!$B$38&lt;&gt;"OK","ASSUMPTIONS INVALID",'Case inputs'!I9))</f>
        <v>OK</v>
      </c>
      <c r="D9" s="11">
        <f>IF(C9&lt;&gt;"OK","",VLOOKUP('Case inputs'!E9,Benchmarks!$A$6:$C$164,3,FALSE))</f>
        <v>8</v>
      </c>
      <c r="E9" s="11">
        <f>IF(C9&lt;&gt;"OK","",Assumptions!$B$5-'Case inputs'!D9)</f>
        <v>92</v>
      </c>
      <c r="F9" s="15">
        <f>IF(C9&lt;&gt;"OK","",IF(B9="INITIAL",'Case inputs'!D9+Assumptions!$B$10,IF(B9="RECON",'Case inputs'!D9+Assumptions!$B$11,EDATE('Case inputs'!D9,INT(D9))+ROUND(MOD(D9,1)*30.44,0))))</f>
        <v>46392</v>
      </c>
      <c r="G9" s="11" t="str">
        <f>IF(C9&lt;&gt;"OK","",IF(AND(B9="HEARING",'Case inputs'!F9&lt;&gt;"",'Case inputs'!F9&gt;=Assumptions!$B$5),"SCHEDULED",IF('Case inputs'!G9&lt;&gt;"","REVIEWED OVERRIDE",IF(F9&lt;Assumptions!$B$5,"OVERDUE: FUTURE WINDOW","BENCHMARK SCENARIO"))))</f>
        <v>BENCHMARK SCENARIO</v>
      </c>
      <c r="H9" s="15">
        <f>IF(C9&lt;&gt;"OK","",IF(G9="SCHEDULED",'Case inputs'!F9,IF('Case inputs'!G9&lt;&gt;"",'Case inputs'!G9,IF(F9&lt;Assumptions!$B$5,EDATE(Assumptions!$B$5,Assumptions!$B$17),F9))))</f>
        <v>46392</v>
      </c>
      <c r="I9" s="16">
        <f t="shared" si="0"/>
        <v>46392</v>
      </c>
      <c r="J9" s="15">
        <f>IF(C9&lt;&gt;"OK","",IF(B9="INITIAL",EDATE(I9,Assumptions!$B$12)+Assumptions!$B$11,IF(B9="RECON",H9,"")))</f>
        <v>46635</v>
      </c>
      <c r="K9" s="15">
        <f>IF(C9&lt;&gt;"OK","",IF(B9="HEARING",'Case inputs'!D9,EDATE(J9,Assumptions!$B$13)))</f>
        <v>46665</v>
      </c>
      <c r="L9" s="15">
        <f>IF(C9&lt;&gt;"OK","",IF(G9="SCHEDULED",H9,EDATE(IF(B9="HEARING",H9,EDATE(K9,INT(D9))+ROUND(MOD(D9,1)*30.44,0)),Assumptions!$B$18)))</f>
        <v>46909</v>
      </c>
      <c r="M9" s="15">
        <f>IF(C9&lt;&gt;"OK","",EDATE(L9,Assumptions!$B$15))</f>
        <v>46939</v>
      </c>
      <c r="N9" s="17">
        <f>IF(C9&lt;&gt;"OK","",IF(B9="INITIAL",Assumptions!$B$21,0))</f>
        <v>0.15</v>
      </c>
      <c r="O9" s="17">
        <f>IF(C9&lt;&gt;"OK","",IF(B9="INITIAL",(1-Assumptions!$B$21)*Assumptions!$B$24*Assumptions!$B$22,IF(B9="RECON",Assumptions!$B$22,0)))</f>
        <v>0.15300000000000002</v>
      </c>
      <c r="P9" s="17">
        <f>IF(C9&lt;&gt;"OK","",IF(B9="INITIAL",(1-Assumptions!$B$21)*Assumptions!$B$24*(1-Assumptions!$B$22)*Assumptions!$B$25,IF(B9="RECON",(1-Assumptions!$B$22)*Assumptions!$B$25,1)))</f>
        <v>0.55080000000000007</v>
      </c>
      <c r="Q9" s="17">
        <f>IF(C9&lt;&gt;"OK","",IF(B9="INITIAL",(1-Assumptions!$B$21)*(1-Assumptions!$B$24),0))</f>
        <v>8.4999999999999978E-2</v>
      </c>
      <c r="R9" s="17">
        <f>IF(C9&lt;&gt;"OK","",IF(B9="INITIAL",(1-Assumptions!$B$21)*Assumptions!$B$24*(1-Assumptions!$B$22)*(1-Assumptions!$B$25),IF(B9="RECON",(1-Assumptions!$B$22)*(1-Assumptions!$B$25),0)))</f>
        <v>6.1199999999999997E-2</v>
      </c>
      <c r="S9" s="17">
        <f>IF(C9&lt;&gt;"OK","",P9*Assumptions!$B$23)</f>
        <v>0.30294000000000004</v>
      </c>
      <c r="T9" s="17">
        <f>IF(C9&lt;&gt;"OK","",P9*(1-Assumptions!$B$23))</f>
        <v>0.24786</v>
      </c>
      <c r="U9" s="18">
        <f t="shared" si="1"/>
        <v>1</v>
      </c>
      <c r="V9" s="15">
        <f>IF(C9&lt;&gt;"OK","",IF(B9="INITIAL",EDATE(I9,Assumptions!$B$14),""))</f>
        <v>46423</v>
      </c>
      <c r="W9" s="15">
        <f>IF(C9&lt;&gt;"OK","",IF(B9="HEARING","",EDATE(J9,Assumptions!$B$14)))</f>
        <v>46665</v>
      </c>
      <c r="X9" s="15">
        <f>IF(C9&lt;&gt;"OK","",EDATE(M9,Assumptions!$B$16))</f>
        <v>47001</v>
      </c>
    </row>
    <row r="10" spans="1:24" ht="22" customHeight="1">
      <c r="A10" s="11" t="str">
        <f>IF('Case inputs'!A10="","",'Case inputs'!A10)</f>
        <v>I-005</v>
      </c>
      <c r="B10" s="11" t="str">
        <f>IF(A10="","",'Case inputs'!C10)</f>
        <v>INITIAL</v>
      </c>
      <c r="C10" s="11" t="str">
        <f>IF('Case inputs'!I10="","",IF(Assumptions!$B$38&lt;&gt;"OK","ASSUMPTIONS INVALID",'Case inputs'!I10))</f>
        <v>OK</v>
      </c>
      <c r="D10" s="11">
        <f>IF(C10&lt;&gt;"OK","",VLOOKUP('Case inputs'!E10,Benchmarks!$A$6:$C$164,3,FALSE))</f>
        <v>8</v>
      </c>
      <c r="E10" s="11">
        <f>IF(C10&lt;&gt;"OK","",Assumptions!$B$5-'Case inputs'!D10)</f>
        <v>92</v>
      </c>
      <c r="F10" s="15">
        <f>IF(C10&lt;&gt;"OK","",IF(B10="INITIAL",'Case inputs'!D10+Assumptions!$B$10,IF(B10="RECON",'Case inputs'!D10+Assumptions!$B$11,EDATE('Case inputs'!D10,INT(D10))+ROUND(MOD(D10,1)*30.44,0))))</f>
        <v>46392</v>
      </c>
      <c r="G10" s="11" t="str">
        <f>IF(C10&lt;&gt;"OK","",IF(AND(B10="HEARING",'Case inputs'!F10&lt;&gt;"",'Case inputs'!F10&gt;=Assumptions!$B$5),"SCHEDULED",IF('Case inputs'!G10&lt;&gt;"","REVIEWED OVERRIDE",IF(F10&lt;Assumptions!$B$5,"OVERDUE: FUTURE WINDOW","BENCHMARK SCENARIO"))))</f>
        <v>BENCHMARK SCENARIO</v>
      </c>
      <c r="H10" s="15">
        <f>IF(C10&lt;&gt;"OK","",IF(G10="SCHEDULED",'Case inputs'!F10,IF('Case inputs'!G10&lt;&gt;"",'Case inputs'!G10,IF(F10&lt;Assumptions!$B$5,EDATE(Assumptions!$B$5,Assumptions!$B$17),F10))))</f>
        <v>46392</v>
      </c>
      <c r="I10" s="16">
        <f t="shared" si="0"/>
        <v>46392</v>
      </c>
      <c r="J10" s="15">
        <f>IF(C10&lt;&gt;"OK","",IF(B10="INITIAL",EDATE(I10,Assumptions!$B$12)+Assumptions!$B$11,IF(B10="RECON",H10,"")))</f>
        <v>46635</v>
      </c>
      <c r="K10" s="15">
        <f>IF(C10&lt;&gt;"OK","",IF(B10="HEARING",'Case inputs'!D10,EDATE(J10,Assumptions!$B$13)))</f>
        <v>46665</v>
      </c>
      <c r="L10" s="15">
        <f>IF(C10&lt;&gt;"OK","",IF(G10="SCHEDULED",H10,EDATE(IF(B10="HEARING",H10,EDATE(K10,INT(D10))+ROUND(MOD(D10,1)*30.44,0)),Assumptions!$B$18)))</f>
        <v>46909</v>
      </c>
      <c r="M10" s="15">
        <f>IF(C10&lt;&gt;"OK","",EDATE(L10,Assumptions!$B$15))</f>
        <v>46939</v>
      </c>
      <c r="N10" s="17">
        <f>IF(C10&lt;&gt;"OK","",IF(B10="INITIAL",Assumptions!$B$21,0))</f>
        <v>0.15</v>
      </c>
      <c r="O10" s="17">
        <f>IF(C10&lt;&gt;"OK","",IF(B10="INITIAL",(1-Assumptions!$B$21)*Assumptions!$B$24*Assumptions!$B$22,IF(B10="RECON",Assumptions!$B$22,0)))</f>
        <v>0.15300000000000002</v>
      </c>
      <c r="P10" s="17">
        <f>IF(C10&lt;&gt;"OK","",IF(B10="INITIAL",(1-Assumptions!$B$21)*Assumptions!$B$24*(1-Assumptions!$B$22)*Assumptions!$B$25,IF(B10="RECON",(1-Assumptions!$B$22)*Assumptions!$B$25,1)))</f>
        <v>0.55080000000000007</v>
      </c>
      <c r="Q10" s="17">
        <f>IF(C10&lt;&gt;"OK","",IF(B10="INITIAL",(1-Assumptions!$B$21)*(1-Assumptions!$B$24),0))</f>
        <v>8.4999999999999978E-2</v>
      </c>
      <c r="R10" s="17">
        <f>IF(C10&lt;&gt;"OK","",IF(B10="INITIAL",(1-Assumptions!$B$21)*Assumptions!$B$24*(1-Assumptions!$B$22)*(1-Assumptions!$B$25),IF(B10="RECON",(1-Assumptions!$B$22)*(1-Assumptions!$B$25),0)))</f>
        <v>6.1199999999999997E-2</v>
      </c>
      <c r="S10" s="17">
        <f>IF(C10&lt;&gt;"OK","",P10*Assumptions!$B$23)</f>
        <v>0.30294000000000004</v>
      </c>
      <c r="T10" s="17">
        <f>IF(C10&lt;&gt;"OK","",P10*(1-Assumptions!$B$23))</f>
        <v>0.24786</v>
      </c>
      <c r="U10" s="18">
        <f t="shared" si="1"/>
        <v>1</v>
      </c>
      <c r="V10" s="15">
        <f>IF(C10&lt;&gt;"OK","",IF(B10="INITIAL",EDATE(I10,Assumptions!$B$14),""))</f>
        <v>46423</v>
      </c>
      <c r="W10" s="15">
        <f>IF(C10&lt;&gt;"OK","",IF(B10="HEARING","",EDATE(J10,Assumptions!$B$14)))</f>
        <v>46665</v>
      </c>
      <c r="X10" s="15">
        <f>IF(C10&lt;&gt;"OK","",EDATE(M10,Assumptions!$B$16))</f>
        <v>47001</v>
      </c>
    </row>
    <row r="11" spans="1:24" ht="22" customHeight="1">
      <c r="A11" s="11" t="str">
        <f>IF('Case inputs'!A11="","",'Case inputs'!A11)</f>
        <v>I-006</v>
      </c>
      <c r="B11" s="11" t="str">
        <f>IF(A11="","",'Case inputs'!C11)</f>
        <v>INITIAL</v>
      </c>
      <c r="C11" s="11" t="str">
        <f>IF('Case inputs'!I11="","",IF(Assumptions!$B$38&lt;&gt;"OK","ASSUMPTIONS INVALID",'Case inputs'!I11))</f>
        <v>OK</v>
      </c>
      <c r="D11" s="11">
        <f>IF(C11&lt;&gt;"OK","",VLOOKUP('Case inputs'!E11,Benchmarks!$A$6:$C$164,3,FALSE))</f>
        <v>8</v>
      </c>
      <c r="E11" s="11">
        <f>IF(C11&lt;&gt;"OK","",Assumptions!$B$5-'Case inputs'!D11)</f>
        <v>92</v>
      </c>
      <c r="F11" s="15">
        <f>IF(C11&lt;&gt;"OK","",IF(B11="INITIAL",'Case inputs'!D11+Assumptions!$B$10,IF(B11="RECON",'Case inputs'!D11+Assumptions!$B$11,EDATE('Case inputs'!D11,INT(D11))+ROUND(MOD(D11,1)*30.44,0))))</f>
        <v>46392</v>
      </c>
      <c r="G11" s="11" t="str">
        <f>IF(C11&lt;&gt;"OK","",IF(AND(B11="HEARING",'Case inputs'!F11&lt;&gt;"",'Case inputs'!F11&gt;=Assumptions!$B$5),"SCHEDULED",IF('Case inputs'!G11&lt;&gt;"","REVIEWED OVERRIDE",IF(F11&lt;Assumptions!$B$5,"OVERDUE: FUTURE WINDOW","BENCHMARK SCENARIO"))))</f>
        <v>BENCHMARK SCENARIO</v>
      </c>
      <c r="H11" s="15">
        <f>IF(C11&lt;&gt;"OK","",IF(G11="SCHEDULED",'Case inputs'!F11,IF('Case inputs'!G11&lt;&gt;"",'Case inputs'!G11,IF(F11&lt;Assumptions!$B$5,EDATE(Assumptions!$B$5,Assumptions!$B$17),F11))))</f>
        <v>46392</v>
      </c>
      <c r="I11" s="16">
        <f t="shared" si="0"/>
        <v>46392</v>
      </c>
      <c r="J11" s="15">
        <f>IF(C11&lt;&gt;"OK","",IF(B11="INITIAL",EDATE(I11,Assumptions!$B$12)+Assumptions!$B$11,IF(B11="RECON",H11,"")))</f>
        <v>46635</v>
      </c>
      <c r="K11" s="15">
        <f>IF(C11&lt;&gt;"OK","",IF(B11="HEARING",'Case inputs'!D11,EDATE(J11,Assumptions!$B$13)))</f>
        <v>46665</v>
      </c>
      <c r="L11" s="15">
        <f>IF(C11&lt;&gt;"OK","",IF(G11="SCHEDULED",H11,EDATE(IF(B11="HEARING",H11,EDATE(K11,INT(D11))+ROUND(MOD(D11,1)*30.44,0)),Assumptions!$B$18)))</f>
        <v>46909</v>
      </c>
      <c r="M11" s="15">
        <f>IF(C11&lt;&gt;"OK","",EDATE(L11,Assumptions!$B$15))</f>
        <v>46939</v>
      </c>
      <c r="N11" s="17">
        <f>IF(C11&lt;&gt;"OK","",IF(B11="INITIAL",Assumptions!$B$21,0))</f>
        <v>0.15</v>
      </c>
      <c r="O11" s="17">
        <f>IF(C11&lt;&gt;"OK","",IF(B11="INITIAL",(1-Assumptions!$B$21)*Assumptions!$B$24*Assumptions!$B$22,IF(B11="RECON",Assumptions!$B$22,0)))</f>
        <v>0.15300000000000002</v>
      </c>
      <c r="P11" s="17">
        <f>IF(C11&lt;&gt;"OK","",IF(B11="INITIAL",(1-Assumptions!$B$21)*Assumptions!$B$24*(1-Assumptions!$B$22)*Assumptions!$B$25,IF(B11="RECON",(1-Assumptions!$B$22)*Assumptions!$B$25,1)))</f>
        <v>0.55080000000000007</v>
      </c>
      <c r="Q11" s="17">
        <f>IF(C11&lt;&gt;"OK","",IF(B11="INITIAL",(1-Assumptions!$B$21)*(1-Assumptions!$B$24),0))</f>
        <v>8.4999999999999978E-2</v>
      </c>
      <c r="R11" s="17">
        <f>IF(C11&lt;&gt;"OK","",IF(B11="INITIAL",(1-Assumptions!$B$21)*Assumptions!$B$24*(1-Assumptions!$B$22)*(1-Assumptions!$B$25),IF(B11="RECON",(1-Assumptions!$B$22)*(1-Assumptions!$B$25),0)))</f>
        <v>6.1199999999999997E-2</v>
      </c>
      <c r="S11" s="17">
        <f>IF(C11&lt;&gt;"OK","",P11*Assumptions!$B$23)</f>
        <v>0.30294000000000004</v>
      </c>
      <c r="T11" s="17">
        <f>IF(C11&lt;&gt;"OK","",P11*(1-Assumptions!$B$23))</f>
        <v>0.24786</v>
      </c>
      <c r="U11" s="18">
        <f t="shared" si="1"/>
        <v>1</v>
      </c>
      <c r="V11" s="15">
        <f>IF(C11&lt;&gt;"OK","",IF(B11="INITIAL",EDATE(I11,Assumptions!$B$14),""))</f>
        <v>46423</v>
      </c>
      <c r="W11" s="15">
        <f>IF(C11&lt;&gt;"OK","",IF(B11="HEARING","",EDATE(J11,Assumptions!$B$14)))</f>
        <v>46665</v>
      </c>
      <c r="X11" s="15">
        <f>IF(C11&lt;&gt;"OK","",EDATE(M11,Assumptions!$B$16))</f>
        <v>47001</v>
      </c>
    </row>
    <row r="12" spans="1:24" ht="22" customHeight="1">
      <c r="A12" s="11" t="str">
        <f>IF('Case inputs'!A12="","",'Case inputs'!A12)</f>
        <v>I-007</v>
      </c>
      <c r="B12" s="11" t="str">
        <f>IF(A12="","",'Case inputs'!C12)</f>
        <v>INITIAL</v>
      </c>
      <c r="C12" s="11" t="str">
        <f>IF('Case inputs'!I12="","",IF(Assumptions!$B$38&lt;&gt;"OK","ASSUMPTIONS INVALID",'Case inputs'!I12))</f>
        <v>OK</v>
      </c>
      <c r="D12" s="11">
        <f>IF(C12&lt;&gt;"OK","",VLOOKUP('Case inputs'!E12,Benchmarks!$A$6:$C$164,3,FALSE))</f>
        <v>8</v>
      </c>
      <c r="E12" s="11">
        <f>IF(C12&lt;&gt;"OK","",Assumptions!$B$5-'Case inputs'!D12)</f>
        <v>92</v>
      </c>
      <c r="F12" s="15">
        <f>IF(C12&lt;&gt;"OK","",IF(B12="INITIAL",'Case inputs'!D12+Assumptions!$B$10,IF(B12="RECON",'Case inputs'!D12+Assumptions!$B$11,EDATE('Case inputs'!D12,INT(D12))+ROUND(MOD(D12,1)*30.44,0))))</f>
        <v>46392</v>
      </c>
      <c r="G12" s="11" t="str">
        <f>IF(C12&lt;&gt;"OK","",IF(AND(B12="HEARING",'Case inputs'!F12&lt;&gt;"",'Case inputs'!F12&gt;=Assumptions!$B$5),"SCHEDULED",IF('Case inputs'!G12&lt;&gt;"","REVIEWED OVERRIDE",IF(F12&lt;Assumptions!$B$5,"OVERDUE: FUTURE WINDOW","BENCHMARK SCENARIO"))))</f>
        <v>BENCHMARK SCENARIO</v>
      </c>
      <c r="H12" s="15">
        <f>IF(C12&lt;&gt;"OK","",IF(G12="SCHEDULED",'Case inputs'!F12,IF('Case inputs'!G12&lt;&gt;"",'Case inputs'!G12,IF(F12&lt;Assumptions!$B$5,EDATE(Assumptions!$B$5,Assumptions!$B$17),F12))))</f>
        <v>46392</v>
      </c>
      <c r="I12" s="16">
        <f t="shared" si="0"/>
        <v>46392</v>
      </c>
      <c r="J12" s="15">
        <f>IF(C12&lt;&gt;"OK","",IF(B12="INITIAL",EDATE(I12,Assumptions!$B$12)+Assumptions!$B$11,IF(B12="RECON",H12,"")))</f>
        <v>46635</v>
      </c>
      <c r="K12" s="15">
        <f>IF(C12&lt;&gt;"OK","",IF(B12="HEARING",'Case inputs'!D12,EDATE(J12,Assumptions!$B$13)))</f>
        <v>46665</v>
      </c>
      <c r="L12" s="15">
        <f>IF(C12&lt;&gt;"OK","",IF(G12="SCHEDULED",H12,EDATE(IF(B12="HEARING",H12,EDATE(K12,INT(D12))+ROUND(MOD(D12,1)*30.44,0)),Assumptions!$B$18)))</f>
        <v>46909</v>
      </c>
      <c r="M12" s="15">
        <f>IF(C12&lt;&gt;"OK","",EDATE(L12,Assumptions!$B$15))</f>
        <v>46939</v>
      </c>
      <c r="N12" s="17">
        <f>IF(C12&lt;&gt;"OK","",IF(B12="INITIAL",Assumptions!$B$21,0))</f>
        <v>0.15</v>
      </c>
      <c r="O12" s="17">
        <f>IF(C12&lt;&gt;"OK","",IF(B12="INITIAL",(1-Assumptions!$B$21)*Assumptions!$B$24*Assumptions!$B$22,IF(B12="RECON",Assumptions!$B$22,0)))</f>
        <v>0.15300000000000002</v>
      </c>
      <c r="P12" s="17">
        <f>IF(C12&lt;&gt;"OK","",IF(B12="INITIAL",(1-Assumptions!$B$21)*Assumptions!$B$24*(1-Assumptions!$B$22)*Assumptions!$B$25,IF(B12="RECON",(1-Assumptions!$B$22)*Assumptions!$B$25,1)))</f>
        <v>0.55080000000000007</v>
      </c>
      <c r="Q12" s="17">
        <f>IF(C12&lt;&gt;"OK","",IF(B12="INITIAL",(1-Assumptions!$B$21)*(1-Assumptions!$B$24),0))</f>
        <v>8.4999999999999978E-2</v>
      </c>
      <c r="R12" s="17">
        <f>IF(C12&lt;&gt;"OK","",IF(B12="INITIAL",(1-Assumptions!$B$21)*Assumptions!$B$24*(1-Assumptions!$B$22)*(1-Assumptions!$B$25),IF(B12="RECON",(1-Assumptions!$B$22)*(1-Assumptions!$B$25),0)))</f>
        <v>6.1199999999999997E-2</v>
      </c>
      <c r="S12" s="17">
        <f>IF(C12&lt;&gt;"OK","",P12*Assumptions!$B$23)</f>
        <v>0.30294000000000004</v>
      </c>
      <c r="T12" s="17">
        <f>IF(C12&lt;&gt;"OK","",P12*(1-Assumptions!$B$23))</f>
        <v>0.24786</v>
      </c>
      <c r="U12" s="18">
        <f t="shared" si="1"/>
        <v>1</v>
      </c>
      <c r="V12" s="15">
        <f>IF(C12&lt;&gt;"OK","",IF(B12="INITIAL",EDATE(I12,Assumptions!$B$14),""))</f>
        <v>46423</v>
      </c>
      <c r="W12" s="15">
        <f>IF(C12&lt;&gt;"OK","",IF(B12="HEARING","",EDATE(J12,Assumptions!$B$14)))</f>
        <v>46665</v>
      </c>
      <c r="X12" s="15">
        <f>IF(C12&lt;&gt;"OK","",EDATE(M12,Assumptions!$B$16))</f>
        <v>47001</v>
      </c>
    </row>
    <row r="13" spans="1:24" ht="22" customHeight="1">
      <c r="A13" s="11" t="str">
        <f>IF('Case inputs'!A13="","",'Case inputs'!A13)</f>
        <v>I-008</v>
      </c>
      <c r="B13" s="11" t="str">
        <f>IF(A13="","",'Case inputs'!C13)</f>
        <v>INITIAL</v>
      </c>
      <c r="C13" s="11" t="str">
        <f>IF('Case inputs'!I13="","",IF(Assumptions!$B$38&lt;&gt;"OK","ASSUMPTIONS INVALID",'Case inputs'!I13))</f>
        <v>OK</v>
      </c>
      <c r="D13" s="11">
        <f>IF(C13&lt;&gt;"OK","",VLOOKUP('Case inputs'!E13,Benchmarks!$A$6:$C$164,3,FALSE))</f>
        <v>8</v>
      </c>
      <c r="E13" s="11">
        <f>IF(C13&lt;&gt;"OK","",Assumptions!$B$5-'Case inputs'!D13)</f>
        <v>92</v>
      </c>
      <c r="F13" s="15">
        <f>IF(C13&lt;&gt;"OK","",IF(B13="INITIAL",'Case inputs'!D13+Assumptions!$B$10,IF(B13="RECON",'Case inputs'!D13+Assumptions!$B$11,EDATE('Case inputs'!D13,INT(D13))+ROUND(MOD(D13,1)*30.44,0))))</f>
        <v>46392</v>
      </c>
      <c r="G13" s="11" t="str">
        <f>IF(C13&lt;&gt;"OK","",IF(AND(B13="HEARING",'Case inputs'!F13&lt;&gt;"",'Case inputs'!F13&gt;=Assumptions!$B$5),"SCHEDULED",IF('Case inputs'!G13&lt;&gt;"","REVIEWED OVERRIDE",IF(F13&lt;Assumptions!$B$5,"OVERDUE: FUTURE WINDOW","BENCHMARK SCENARIO"))))</f>
        <v>BENCHMARK SCENARIO</v>
      </c>
      <c r="H13" s="15">
        <f>IF(C13&lt;&gt;"OK","",IF(G13="SCHEDULED",'Case inputs'!F13,IF('Case inputs'!G13&lt;&gt;"",'Case inputs'!G13,IF(F13&lt;Assumptions!$B$5,EDATE(Assumptions!$B$5,Assumptions!$B$17),F13))))</f>
        <v>46392</v>
      </c>
      <c r="I13" s="16">
        <f t="shared" si="0"/>
        <v>46392</v>
      </c>
      <c r="J13" s="15">
        <f>IF(C13&lt;&gt;"OK","",IF(B13="INITIAL",EDATE(I13,Assumptions!$B$12)+Assumptions!$B$11,IF(B13="RECON",H13,"")))</f>
        <v>46635</v>
      </c>
      <c r="K13" s="15">
        <f>IF(C13&lt;&gt;"OK","",IF(B13="HEARING",'Case inputs'!D13,EDATE(J13,Assumptions!$B$13)))</f>
        <v>46665</v>
      </c>
      <c r="L13" s="15">
        <f>IF(C13&lt;&gt;"OK","",IF(G13="SCHEDULED",H13,EDATE(IF(B13="HEARING",H13,EDATE(K13,INT(D13))+ROUND(MOD(D13,1)*30.44,0)),Assumptions!$B$18)))</f>
        <v>46909</v>
      </c>
      <c r="M13" s="15">
        <f>IF(C13&lt;&gt;"OK","",EDATE(L13,Assumptions!$B$15))</f>
        <v>46939</v>
      </c>
      <c r="N13" s="17">
        <f>IF(C13&lt;&gt;"OK","",IF(B13="INITIAL",Assumptions!$B$21,0))</f>
        <v>0.15</v>
      </c>
      <c r="O13" s="17">
        <f>IF(C13&lt;&gt;"OK","",IF(B13="INITIAL",(1-Assumptions!$B$21)*Assumptions!$B$24*Assumptions!$B$22,IF(B13="RECON",Assumptions!$B$22,0)))</f>
        <v>0.15300000000000002</v>
      </c>
      <c r="P13" s="17">
        <f>IF(C13&lt;&gt;"OK","",IF(B13="INITIAL",(1-Assumptions!$B$21)*Assumptions!$B$24*(1-Assumptions!$B$22)*Assumptions!$B$25,IF(B13="RECON",(1-Assumptions!$B$22)*Assumptions!$B$25,1)))</f>
        <v>0.55080000000000007</v>
      </c>
      <c r="Q13" s="17">
        <f>IF(C13&lt;&gt;"OK","",IF(B13="INITIAL",(1-Assumptions!$B$21)*(1-Assumptions!$B$24),0))</f>
        <v>8.4999999999999978E-2</v>
      </c>
      <c r="R13" s="17">
        <f>IF(C13&lt;&gt;"OK","",IF(B13="INITIAL",(1-Assumptions!$B$21)*Assumptions!$B$24*(1-Assumptions!$B$22)*(1-Assumptions!$B$25),IF(B13="RECON",(1-Assumptions!$B$22)*(1-Assumptions!$B$25),0)))</f>
        <v>6.1199999999999997E-2</v>
      </c>
      <c r="S13" s="17">
        <f>IF(C13&lt;&gt;"OK","",P13*Assumptions!$B$23)</f>
        <v>0.30294000000000004</v>
      </c>
      <c r="T13" s="17">
        <f>IF(C13&lt;&gt;"OK","",P13*(1-Assumptions!$B$23))</f>
        <v>0.24786</v>
      </c>
      <c r="U13" s="18">
        <f t="shared" si="1"/>
        <v>1</v>
      </c>
      <c r="V13" s="15">
        <f>IF(C13&lt;&gt;"OK","",IF(B13="INITIAL",EDATE(I13,Assumptions!$B$14),""))</f>
        <v>46423</v>
      </c>
      <c r="W13" s="15">
        <f>IF(C13&lt;&gt;"OK","",IF(B13="HEARING","",EDATE(J13,Assumptions!$B$14)))</f>
        <v>46665</v>
      </c>
      <c r="X13" s="15">
        <f>IF(C13&lt;&gt;"OK","",EDATE(M13,Assumptions!$B$16))</f>
        <v>47001</v>
      </c>
    </row>
    <row r="14" spans="1:24" ht="22" customHeight="1">
      <c r="A14" s="11" t="str">
        <f>IF('Case inputs'!A14="","",'Case inputs'!A14)</f>
        <v>I-009</v>
      </c>
      <c r="B14" s="11" t="str">
        <f>IF(A14="","",'Case inputs'!C14)</f>
        <v>INITIAL</v>
      </c>
      <c r="C14" s="11" t="str">
        <f>IF('Case inputs'!I14="","",IF(Assumptions!$B$38&lt;&gt;"OK","ASSUMPTIONS INVALID",'Case inputs'!I14))</f>
        <v>OK</v>
      </c>
      <c r="D14" s="11">
        <f>IF(C14&lt;&gt;"OK","",VLOOKUP('Case inputs'!E14,Benchmarks!$A$6:$C$164,3,FALSE))</f>
        <v>8</v>
      </c>
      <c r="E14" s="11">
        <f>IF(C14&lt;&gt;"OK","",Assumptions!$B$5-'Case inputs'!D14)</f>
        <v>92</v>
      </c>
      <c r="F14" s="15">
        <f>IF(C14&lt;&gt;"OK","",IF(B14="INITIAL",'Case inputs'!D14+Assumptions!$B$10,IF(B14="RECON",'Case inputs'!D14+Assumptions!$B$11,EDATE('Case inputs'!D14,INT(D14))+ROUND(MOD(D14,1)*30.44,0))))</f>
        <v>46392</v>
      </c>
      <c r="G14" s="11" t="str">
        <f>IF(C14&lt;&gt;"OK","",IF(AND(B14="HEARING",'Case inputs'!F14&lt;&gt;"",'Case inputs'!F14&gt;=Assumptions!$B$5),"SCHEDULED",IF('Case inputs'!G14&lt;&gt;"","REVIEWED OVERRIDE",IF(F14&lt;Assumptions!$B$5,"OVERDUE: FUTURE WINDOW","BENCHMARK SCENARIO"))))</f>
        <v>BENCHMARK SCENARIO</v>
      </c>
      <c r="H14" s="15">
        <f>IF(C14&lt;&gt;"OK","",IF(G14="SCHEDULED",'Case inputs'!F14,IF('Case inputs'!G14&lt;&gt;"",'Case inputs'!G14,IF(F14&lt;Assumptions!$B$5,EDATE(Assumptions!$B$5,Assumptions!$B$17),F14))))</f>
        <v>46392</v>
      </c>
      <c r="I14" s="16">
        <f t="shared" si="0"/>
        <v>46392</v>
      </c>
      <c r="J14" s="15">
        <f>IF(C14&lt;&gt;"OK","",IF(B14="INITIAL",EDATE(I14,Assumptions!$B$12)+Assumptions!$B$11,IF(B14="RECON",H14,"")))</f>
        <v>46635</v>
      </c>
      <c r="K14" s="15">
        <f>IF(C14&lt;&gt;"OK","",IF(B14="HEARING",'Case inputs'!D14,EDATE(J14,Assumptions!$B$13)))</f>
        <v>46665</v>
      </c>
      <c r="L14" s="15">
        <f>IF(C14&lt;&gt;"OK","",IF(G14="SCHEDULED",H14,EDATE(IF(B14="HEARING",H14,EDATE(K14,INT(D14))+ROUND(MOD(D14,1)*30.44,0)),Assumptions!$B$18)))</f>
        <v>46909</v>
      </c>
      <c r="M14" s="15">
        <f>IF(C14&lt;&gt;"OK","",EDATE(L14,Assumptions!$B$15))</f>
        <v>46939</v>
      </c>
      <c r="N14" s="17">
        <f>IF(C14&lt;&gt;"OK","",IF(B14="INITIAL",Assumptions!$B$21,0))</f>
        <v>0.15</v>
      </c>
      <c r="O14" s="17">
        <f>IF(C14&lt;&gt;"OK","",IF(B14="INITIAL",(1-Assumptions!$B$21)*Assumptions!$B$24*Assumptions!$B$22,IF(B14="RECON",Assumptions!$B$22,0)))</f>
        <v>0.15300000000000002</v>
      </c>
      <c r="P14" s="17">
        <f>IF(C14&lt;&gt;"OK","",IF(B14="INITIAL",(1-Assumptions!$B$21)*Assumptions!$B$24*(1-Assumptions!$B$22)*Assumptions!$B$25,IF(B14="RECON",(1-Assumptions!$B$22)*Assumptions!$B$25,1)))</f>
        <v>0.55080000000000007</v>
      </c>
      <c r="Q14" s="17">
        <f>IF(C14&lt;&gt;"OK","",IF(B14="INITIAL",(1-Assumptions!$B$21)*(1-Assumptions!$B$24),0))</f>
        <v>8.4999999999999978E-2</v>
      </c>
      <c r="R14" s="17">
        <f>IF(C14&lt;&gt;"OK","",IF(B14="INITIAL",(1-Assumptions!$B$21)*Assumptions!$B$24*(1-Assumptions!$B$22)*(1-Assumptions!$B$25),IF(B14="RECON",(1-Assumptions!$B$22)*(1-Assumptions!$B$25),0)))</f>
        <v>6.1199999999999997E-2</v>
      </c>
      <c r="S14" s="17">
        <f>IF(C14&lt;&gt;"OK","",P14*Assumptions!$B$23)</f>
        <v>0.30294000000000004</v>
      </c>
      <c r="T14" s="17">
        <f>IF(C14&lt;&gt;"OK","",P14*(1-Assumptions!$B$23))</f>
        <v>0.24786</v>
      </c>
      <c r="U14" s="18">
        <f t="shared" si="1"/>
        <v>1</v>
      </c>
      <c r="V14" s="15">
        <f>IF(C14&lt;&gt;"OK","",IF(B14="INITIAL",EDATE(I14,Assumptions!$B$14),""))</f>
        <v>46423</v>
      </c>
      <c r="W14" s="15">
        <f>IF(C14&lt;&gt;"OK","",IF(B14="HEARING","",EDATE(J14,Assumptions!$B$14)))</f>
        <v>46665</v>
      </c>
      <c r="X14" s="15">
        <f>IF(C14&lt;&gt;"OK","",EDATE(M14,Assumptions!$B$16))</f>
        <v>47001</v>
      </c>
    </row>
    <row r="15" spans="1:24" ht="22" customHeight="1">
      <c r="A15" s="11" t="str">
        <f>IF('Case inputs'!A15="","",'Case inputs'!A15)</f>
        <v>I-010</v>
      </c>
      <c r="B15" s="11" t="str">
        <f>IF(A15="","",'Case inputs'!C15)</f>
        <v>INITIAL</v>
      </c>
      <c r="C15" s="11" t="str">
        <f>IF('Case inputs'!I15="","",IF(Assumptions!$B$38&lt;&gt;"OK","ASSUMPTIONS INVALID",'Case inputs'!I15))</f>
        <v>OK</v>
      </c>
      <c r="D15" s="11">
        <f>IF(C15&lt;&gt;"OK","",VLOOKUP('Case inputs'!E15,Benchmarks!$A$6:$C$164,3,FALSE))</f>
        <v>8</v>
      </c>
      <c r="E15" s="11">
        <f>IF(C15&lt;&gt;"OK","",Assumptions!$B$5-'Case inputs'!D15)</f>
        <v>92</v>
      </c>
      <c r="F15" s="15">
        <f>IF(C15&lt;&gt;"OK","",IF(B15="INITIAL",'Case inputs'!D15+Assumptions!$B$10,IF(B15="RECON",'Case inputs'!D15+Assumptions!$B$11,EDATE('Case inputs'!D15,INT(D15))+ROUND(MOD(D15,1)*30.44,0))))</f>
        <v>46392</v>
      </c>
      <c r="G15" s="11" t="str">
        <f>IF(C15&lt;&gt;"OK","",IF(AND(B15="HEARING",'Case inputs'!F15&lt;&gt;"",'Case inputs'!F15&gt;=Assumptions!$B$5),"SCHEDULED",IF('Case inputs'!G15&lt;&gt;"","REVIEWED OVERRIDE",IF(F15&lt;Assumptions!$B$5,"OVERDUE: FUTURE WINDOW","BENCHMARK SCENARIO"))))</f>
        <v>BENCHMARK SCENARIO</v>
      </c>
      <c r="H15" s="15">
        <f>IF(C15&lt;&gt;"OK","",IF(G15="SCHEDULED",'Case inputs'!F15,IF('Case inputs'!G15&lt;&gt;"",'Case inputs'!G15,IF(F15&lt;Assumptions!$B$5,EDATE(Assumptions!$B$5,Assumptions!$B$17),F15))))</f>
        <v>46392</v>
      </c>
      <c r="I15" s="16">
        <f t="shared" si="0"/>
        <v>46392</v>
      </c>
      <c r="J15" s="15">
        <f>IF(C15&lt;&gt;"OK","",IF(B15="INITIAL",EDATE(I15,Assumptions!$B$12)+Assumptions!$B$11,IF(B15="RECON",H15,"")))</f>
        <v>46635</v>
      </c>
      <c r="K15" s="15">
        <f>IF(C15&lt;&gt;"OK","",IF(B15="HEARING",'Case inputs'!D15,EDATE(J15,Assumptions!$B$13)))</f>
        <v>46665</v>
      </c>
      <c r="L15" s="15">
        <f>IF(C15&lt;&gt;"OK","",IF(G15="SCHEDULED",H15,EDATE(IF(B15="HEARING",H15,EDATE(K15,INT(D15))+ROUND(MOD(D15,1)*30.44,0)),Assumptions!$B$18)))</f>
        <v>46909</v>
      </c>
      <c r="M15" s="15">
        <f>IF(C15&lt;&gt;"OK","",EDATE(L15,Assumptions!$B$15))</f>
        <v>46939</v>
      </c>
      <c r="N15" s="17">
        <f>IF(C15&lt;&gt;"OK","",IF(B15="INITIAL",Assumptions!$B$21,0))</f>
        <v>0.15</v>
      </c>
      <c r="O15" s="17">
        <f>IF(C15&lt;&gt;"OK","",IF(B15="INITIAL",(1-Assumptions!$B$21)*Assumptions!$B$24*Assumptions!$B$22,IF(B15="RECON",Assumptions!$B$22,0)))</f>
        <v>0.15300000000000002</v>
      </c>
      <c r="P15" s="17">
        <f>IF(C15&lt;&gt;"OK","",IF(B15="INITIAL",(1-Assumptions!$B$21)*Assumptions!$B$24*(1-Assumptions!$B$22)*Assumptions!$B$25,IF(B15="RECON",(1-Assumptions!$B$22)*Assumptions!$B$25,1)))</f>
        <v>0.55080000000000007</v>
      </c>
      <c r="Q15" s="17">
        <f>IF(C15&lt;&gt;"OK","",IF(B15="INITIAL",(1-Assumptions!$B$21)*(1-Assumptions!$B$24),0))</f>
        <v>8.4999999999999978E-2</v>
      </c>
      <c r="R15" s="17">
        <f>IF(C15&lt;&gt;"OK","",IF(B15="INITIAL",(1-Assumptions!$B$21)*Assumptions!$B$24*(1-Assumptions!$B$22)*(1-Assumptions!$B$25),IF(B15="RECON",(1-Assumptions!$B$22)*(1-Assumptions!$B$25),0)))</f>
        <v>6.1199999999999997E-2</v>
      </c>
      <c r="S15" s="17">
        <f>IF(C15&lt;&gt;"OK","",P15*Assumptions!$B$23)</f>
        <v>0.30294000000000004</v>
      </c>
      <c r="T15" s="17">
        <f>IF(C15&lt;&gt;"OK","",P15*(1-Assumptions!$B$23))</f>
        <v>0.24786</v>
      </c>
      <c r="U15" s="18">
        <f t="shared" si="1"/>
        <v>1</v>
      </c>
      <c r="V15" s="15">
        <f>IF(C15&lt;&gt;"OK","",IF(B15="INITIAL",EDATE(I15,Assumptions!$B$14),""))</f>
        <v>46423</v>
      </c>
      <c r="W15" s="15">
        <f>IF(C15&lt;&gt;"OK","",IF(B15="HEARING","",EDATE(J15,Assumptions!$B$14)))</f>
        <v>46665</v>
      </c>
      <c r="X15" s="15">
        <f>IF(C15&lt;&gt;"OK","",EDATE(M15,Assumptions!$B$16))</f>
        <v>47001</v>
      </c>
    </row>
    <row r="16" spans="1:24" ht="22" customHeight="1">
      <c r="A16" s="11" t="str">
        <f>IF('Case inputs'!A16="","",'Case inputs'!A16)</f>
        <v>I-011</v>
      </c>
      <c r="B16" s="11" t="str">
        <f>IF(A16="","",'Case inputs'!C16)</f>
        <v>INITIAL</v>
      </c>
      <c r="C16" s="11" t="str">
        <f>IF('Case inputs'!I16="","",IF(Assumptions!$B$38&lt;&gt;"OK","ASSUMPTIONS INVALID",'Case inputs'!I16))</f>
        <v>OK</v>
      </c>
      <c r="D16" s="11">
        <f>IF(C16&lt;&gt;"OK","",VLOOKUP('Case inputs'!E16,Benchmarks!$A$6:$C$164,3,FALSE))</f>
        <v>8</v>
      </c>
      <c r="E16" s="11">
        <f>IF(C16&lt;&gt;"OK","",Assumptions!$B$5-'Case inputs'!D16)</f>
        <v>61</v>
      </c>
      <c r="F16" s="15">
        <f>IF(C16&lt;&gt;"OK","",IF(B16="INITIAL",'Case inputs'!D16+Assumptions!$B$10,IF(B16="RECON",'Case inputs'!D16+Assumptions!$B$11,EDATE('Case inputs'!D16,INT(D16))+ROUND(MOD(D16,1)*30.44,0))))</f>
        <v>46423</v>
      </c>
      <c r="G16" s="11" t="str">
        <f>IF(C16&lt;&gt;"OK","",IF(AND(B16="HEARING",'Case inputs'!F16&lt;&gt;"",'Case inputs'!F16&gt;=Assumptions!$B$5),"SCHEDULED",IF('Case inputs'!G16&lt;&gt;"","REVIEWED OVERRIDE",IF(F16&lt;Assumptions!$B$5,"OVERDUE: FUTURE WINDOW","BENCHMARK SCENARIO"))))</f>
        <v>BENCHMARK SCENARIO</v>
      </c>
      <c r="H16" s="15">
        <f>IF(C16&lt;&gt;"OK","",IF(G16="SCHEDULED",'Case inputs'!F16,IF('Case inputs'!G16&lt;&gt;"",'Case inputs'!G16,IF(F16&lt;Assumptions!$B$5,EDATE(Assumptions!$B$5,Assumptions!$B$17),F16))))</f>
        <v>46423</v>
      </c>
      <c r="I16" s="16">
        <f t="shared" si="0"/>
        <v>46423</v>
      </c>
      <c r="J16" s="15">
        <f>IF(C16&lt;&gt;"OK","",IF(B16="INITIAL",EDATE(I16,Assumptions!$B$12)+Assumptions!$B$11,IF(B16="RECON",H16,"")))</f>
        <v>46663</v>
      </c>
      <c r="K16" s="15">
        <f>IF(C16&lt;&gt;"OK","",IF(B16="HEARING",'Case inputs'!D16,EDATE(J16,Assumptions!$B$13)))</f>
        <v>46694</v>
      </c>
      <c r="L16" s="15">
        <f>IF(C16&lt;&gt;"OK","",IF(G16="SCHEDULED",H16,EDATE(IF(B16="HEARING",H16,EDATE(K16,INT(D16))+ROUND(MOD(D16,1)*30.44,0)),Assumptions!$B$18)))</f>
        <v>46937</v>
      </c>
      <c r="M16" s="15">
        <f>IF(C16&lt;&gt;"OK","",EDATE(L16,Assumptions!$B$15))</f>
        <v>46968</v>
      </c>
      <c r="N16" s="17">
        <f>IF(C16&lt;&gt;"OK","",IF(B16="INITIAL",Assumptions!$B$21,0))</f>
        <v>0.15</v>
      </c>
      <c r="O16" s="17">
        <f>IF(C16&lt;&gt;"OK","",IF(B16="INITIAL",(1-Assumptions!$B$21)*Assumptions!$B$24*Assumptions!$B$22,IF(B16="RECON",Assumptions!$B$22,0)))</f>
        <v>0.15300000000000002</v>
      </c>
      <c r="P16" s="17">
        <f>IF(C16&lt;&gt;"OK","",IF(B16="INITIAL",(1-Assumptions!$B$21)*Assumptions!$B$24*(1-Assumptions!$B$22)*Assumptions!$B$25,IF(B16="RECON",(1-Assumptions!$B$22)*Assumptions!$B$25,1)))</f>
        <v>0.55080000000000007</v>
      </c>
      <c r="Q16" s="17">
        <f>IF(C16&lt;&gt;"OK","",IF(B16="INITIAL",(1-Assumptions!$B$21)*(1-Assumptions!$B$24),0))</f>
        <v>8.4999999999999978E-2</v>
      </c>
      <c r="R16" s="17">
        <f>IF(C16&lt;&gt;"OK","",IF(B16="INITIAL",(1-Assumptions!$B$21)*Assumptions!$B$24*(1-Assumptions!$B$22)*(1-Assumptions!$B$25),IF(B16="RECON",(1-Assumptions!$B$22)*(1-Assumptions!$B$25),0)))</f>
        <v>6.1199999999999997E-2</v>
      </c>
      <c r="S16" s="17">
        <f>IF(C16&lt;&gt;"OK","",P16*Assumptions!$B$23)</f>
        <v>0.30294000000000004</v>
      </c>
      <c r="T16" s="17">
        <f>IF(C16&lt;&gt;"OK","",P16*(1-Assumptions!$B$23))</f>
        <v>0.24786</v>
      </c>
      <c r="U16" s="18">
        <f t="shared" si="1"/>
        <v>1</v>
      </c>
      <c r="V16" s="15">
        <f>IF(C16&lt;&gt;"OK","",IF(B16="INITIAL",EDATE(I16,Assumptions!$B$14),""))</f>
        <v>46451</v>
      </c>
      <c r="W16" s="15">
        <f>IF(C16&lt;&gt;"OK","",IF(B16="HEARING","",EDATE(J16,Assumptions!$B$14)))</f>
        <v>46694</v>
      </c>
      <c r="X16" s="15">
        <f>IF(C16&lt;&gt;"OK","",EDATE(M16,Assumptions!$B$16))</f>
        <v>47029</v>
      </c>
    </row>
    <row r="17" spans="1:24" ht="22" customHeight="1">
      <c r="A17" s="11" t="str">
        <f>IF('Case inputs'!A17="","",'Case inputs'!A17)</f>
        <v>I-012</v>
      </c>
      <c r="B17" s="11" t="str">
        <f>IF(A17="","",'Case inputs'!C17)</f>
        <v>INITIAL</v>
      </c>
      <c r="C17" s="11" t="str">
        <f>IF('Case inputs'!I17="","",IF(Assumptions!$B$38&lt;&gt;"OK","ASSUMPTIONS INVALID",'Case inputs'!I17))</f>
        <v>OK</v>
      </c>
      <c r="D17" s="11">
        <f>IF(C17&lt;&gt;"OK","",VLOOKUP('Case inputs'!E17,Benchmarks!$A$6:$C$164,3,FALSE))</f>
        <v>8</v>
      </c>
      <c r="E17" s="11">
        <f>IF(C17&lt;&gt;"OK","",Assumptions!$B$5-'Case inputs'!D17)</f>
        <v>61</v>
      </c>
      <c r="F17" s="15">
        <f>IF(C17&lt;&gt;"OK","",IF(B17="INITIAL",'Case inputs'!D17+Assumptions!$B$10,IF(B17="RECON",'Case inputs'!D17+Assumptions!$B$11,EDATE('Case inputs'!D17,INT(D17))+ROUND(MOD(D17,1)*30.44,0))))</f>
        <v>46423</v>
      </c>
      <c r="G17" s="11" t="str">
        <f>IF(C17&lt;&gt;"OK","",IF(AND(B17="HEARING",'Case inputs'!F17&lt;&gt;"",'Case inputs'!F17&gt;=Assumptions!$B$5),"SCHEDULED",IF('Case inputs'!G17&lt;&gt;"","REVIEWED OVERRIDE",IF(F17&lt;Assumptions!$B$5,"OVERDUE: FUTURE WINDOW","BENCHMARK SCENARIO"))))</f>
        <v>BENCHMARK SCENARIO</v>
      </c>
      <c r="H17" s="15">
        <f>IF(C17&lt;&gt;"OK","",IF(G17="SCHEDULED",'Case inputs'!F17,IF('Case inputs'!G17&lt;&gt;"",'Case inputs'!G17,IF(F17&lt;Assumptions!$B$5,EDATE(Assumptions!$B$5,Assumptions!$B$17),F17))))</f>
        <v>46423</v>
      </c>
      <c r="I17" s="16">
        <f t="shared" si="0"/>
        <v>46423</v>
      </c>
      <c r="J17" s="15">
        <f>IF(C17&lt;&gt;"OK","",IF(B17="INITIAL",EDATE(I17,Assumptions!$B$12)+Assumptions!$B$11,IF(B17="RECON",H17,"")))</f>
        <v>46663</v>
      </c>
      <c r="K17" s="15">
        <f>IF(C17&lt;&gt;"OK","",IF(B17="HEARING",'Case inputs'!D17,EDATE(J17,Assumptions!$B$13)))</f>
        <v>46694</v>
      </c>
      <c r="L17" s="15">
        <f>IF(C17&lt;&gt;"OK","",IF(G17="SCHEDULED",H17,EDATE(IF(B17="HEARING",H17,EDATE(K17,INT(D17))+ROUND(MOD(D17,1)*30.44,0)),Assumptions!$B$18)))</f>
        <v>46937</v>
      </c>
      <c r="M17" s="15">
        <f>IF(C17&lt;&gt;"OK","",EDATE(L17,Assumptions!$B$15))</f>
        <v>46968</v>
      </c>
      <c r="N17" s="17">
        <f>IF(C17&lt;&gt;"OK","",IF(B17="INITIAL",Assumptions!$B$21,0))</f>
        <v>0.15</v>
      </c>
      <c r="O17" s="17">
        <f>IF(C17&lt;&gt;"OK","",IF(B17="INITIAL",(1-Assumptions!$B$21)*Assumptions!$B$24*Assumptions!$B$22,IF(B17="RECON",Assumptions!$B$22,0)))</f>
        <v>0.15300000000000002</v>
      </c>
      <c r="P17" s="17">
        <f>IF(C17&lt;&gt;"OK","",IF(B17="INITIAL",(1-Assumptions!$B$21)*Assumptions!$B$24*(1-Assumptions!$B$22)*Assumptions!$B$25,IF(B17="RECON",(1-Assumptions!$B$22)*Assumptions!$B$25,1)))</f>
        <v>0.55080000000000007</v>
      </c>
      <c r="Q17" s="17">
        <f>IF(C17&lt;&gt;"OK","",IF(B17="INITIAL",(1-Assumptions!$B$21)*(1-Assumptions!$B$24),0))</f>
        <v>8.4999999999999978E-2</v>
      </c>
      <c r="R17" s="17">
        <f>IF(C17&lt;&gt;"OK","",IF(B17="INITIAL",(1-Assumptions!$B$21)*Assumptions!$B$24*(1-Assumptions!$B$22)*(1-Assumptions!$B$25),IF(B17="RECON",(1-Assumptions!$B$22)*(1-Assumptions!$B$25),0)))</f>
        <v>6.1199999999999997E-2</v>
      </c>
      <c r="S17" s="17">
        <f>IF(C17&lt;&gt;"OK","",P17*Assumptions!$B$23)</f>
        <v>0.30294000000000004</v>
      </c>
      <c r="T17" s="17">
        <f>IF(C17&lt;&gt;"OK","",P17*(1-Assumptions!$B$23))</f>
        <v>0.24786</v>
      </c>
      <c r="U17" s="18">
        <f t="shared" si="1"/>
        <v>1</v>
      </c>
      <c r="V17" s="15">
        <f>IF(C17&lt;&gt;"OK","",IF(B17="INITIAL",EDATE(I17,Assumptions!$B$14),""))</f>
        <v>46451</v>
      </c>
      <c r="W17" s="15">
        <f>IF(C17&lt;&gt;"OK","",IF(B17="HEARING","",EDATE(J17,Assumptions!$B$14)))</f>
        <v>46694</v>
      </c>
      <c r="X17" s="15">
        <f>IF(C17&lt;&gt;"OK","",EDATE(M17,Assumptions!$B$16))</f>
        <v>47029</v>
      </c>
    </row>
    <row r="18" spans="1:24" ht="22" customHeight="1">
      <c r="A18" s="11" t="str">
        <f>IF('Case inputs'!A18="","",'Case inputs'!A18)</f>
        <v>I-013</v>
      </c>
      <c r="B18" s="11" t="str">
        <f>IF(A18="","",'Case inputs'!C18)</f>
        <v>INITIAL</v>
      </c>
      <c r="C18" s="11" t="str">
        <f>IF('Case inputs'!I18="","",IF(Assumptions!$B$38&lt;&gt;"OK","ASSUMPTIONS INVALID",'Case inputs'!I18))</f>
        <v>OK</v>
      </c>
      <c r="D18" s="11">
        <f>IF(C18&lt;&gt;"OK","",VLOOKUP('Case inputs'!E18,Benchmarks!$A$6:$C$164,3,FALSE))</f>
        <v>8</v>
      </c>
      <c r="E18" s="11">
        <f>IF(C18&lt;&gt;"OK","",Assumptions!$B$5-'Case inputs'!D18)</f>
        <v>61</v>
      </c>
      <c r="F18" s="15">
        <f>IF(C18&lt;&gt;"OK","",IF(B18="INITIAL",'Case inputs'!D18+Assumptions!$B$10,IF(B18="RECON",'Case inputs'!D18+Assumptions!$B$11,EDATE('Case inputs'!D18,INT(D18))+ROUND(MOD(D18,1)*30.44,0))))</f>
        <v>46423</v>
      </c>
      <c r="G18" s="11" t="str">
        <f>IF(C18&lt;&gt;"OK","",IF(AND(B18="HEARING",'Case inputs'!F18&lt;&gt;"",'Case inputs'!F18&gt;=Assumptions!$B$5),"SCHEDULED",IF('Case inputs'!G18&lt;&gt;"","REVIEWED OVERRIDE",IF(F18&lt;Assumptions!$B$5,"OVERDUE: FUTURE WINDOW","BENCHMARK SCENARIO"))))</f>
        <v>BENCHMARK SCENARIO</v>
      </c>
      <c r="H18" s="15">
        <f>IF(C18&lt;&gt;"OK","",IF(G18="SCHEDULED",'Case inputs'!F18,IF('Case inputs'!G18&lt;&gt;"",'Case inputs'!G18,IF(F18&lt;Assumptions!$B$5,EDATE(Assumptions!$B$5,Assumptions!$B$17),F18))))</f>
        <v>46423</v>
      </c>
      <c r="I18" s="16">
        <f t="shared" si="0"/>
        <v>46423</v>
      </c>
      <c r="J18" s="15">
        <f>IF(C18&lt;&gt;"OK","",IF(B18="INITIAL",EDATE(I18,Assumptions!$B$12)+Assumptions!$B$11,IF(B18="RECON",H18,"")))</f>
        <v>46663</v>
      </c>
      <c r="K18" s="15">
        <f>IF(C18&lt;&gt;"OK","",IF(B18="HEARING",'Case inputs'!D18,EDATE(J18,Assumptions!$B$13)))</f>
        <v>46694</v>
      </c>
      <c r="L18" s="15">
        <f>IF(C18&lt;&gt;"OK","",IF(G18="SCHEDULED",H18,EDATE(IF(B18="HEARING",H18,EDATE(K18,INT(D18))+ROUND(MOD(D18,1)*30.44,0)),Assumptions!$B$18)))</f>
        <v>46937</v>
      </c>
      <c r="M18" s="15">
        <f>IF(C18&lt;&gt;"OK","",EDATE(L18,Assumptions!$B$15))</f>
        <v>46968</v>
      </c>
      <c r="N18" s="17">
        <f>IF(C18&lt;&gt;"OK","",IF(B18="INITIAL",Assumptions!$B$21,0))</f>
        <v>0.15</v>
      </c>
      <c r="O18" s="17">
        <f>IF(C18&lt;&gt;"OK","",IF(B18="INITIAL",(1-Assumptions!$B$21)*Assumptions!$B$24*Assumptions!$B$22,IF(B18="RECON",Assumptions!$B$22,0)))</f>
        <v>0.15300000000000002</v>
      </c>
      <c r="P18" s="17">
        <f>IF(C18&lt;&gt;"OK","",IF(B18="INITIAL",(1-Assumptions!$B$21)*Assumptions!$B$24*(1-Assumptions!$B$22)*Assumptions!$B$25,IF(B18="RECON",(1-Assumptions!$B$22)*Assumptions!$B$25,1)))</f>
        <v>0.55080000000000007</v>
      </c>
      <c r="Q18" s="17">
        <f>IF(C18&lt;&gt;"OK","",IF(B18="INITIAL",(1-Assumptions!$B$21)*(1-Assumptions!$B$24),0))</f>
        <v>8.4999999999999978E-2</v>
      </c>
      <c r="R18" s="17">
        <f>IF(C18&lt;&gt;"OK","",IF(B18="INITIAL",(1-Assumptions!$B$21)*Assumptions!$B$24*(1-Assumptions!$B$22)*(1-Assumptions!$B$25),IF(B18="RECON",(1-Assumptions!$B$22)*(1-Assumptions!$B$25),0)))</f>
        <v>6.1199999999999997E-2</v>
      </c>
      <c r="S18" s="17">
        <f>IF(C18&lt;&gt;"OK","",P18*Assumptions!$B$23)</f>
        <v>0.30294000000000004</v>
      </c>
      <c r="T18" s="17">
        <f>IF(C18&lt;&gt;"OK","",P18*(1-Assumptions!$B$23))</f>
        <v>0.24786</v>
      </c>
      <c r="U18" s="18">
        <f t="shared" si="1"/>
        <v>1</v>
      </c>
      <c r="V18" s="15">
        <f>IF(C18&lt;&gt;"OK","",IF(B18="INITIAL",EDATE(I18,Assumptions!$B$14),""))</f>
        <v>46451</v>
      </c>
      <c r="W18" s="15">
        <f>IF(C18&lt;&gt;"OK","",IF(B18="HEARING","",EDATE(J18,Assumptions!$B$14)))</f>
        <v>46694</v>
      </c>
      <c r="X18" s="15">
        <f>IF(C18&lt;&gt;"OK","",EDATE(M18,Assumptions!$B$16))</f>
        <v>47029</v>
      </c>
    </row>
    <row r="19" spans="1:24" ht="22" customHeight="1">
      <c r="A19" s="11" t="str">
        <f>IF('Case inputs'!A19="","",'Case inputs'!A19)</f>
        <v>I-014</v>
      </c>
      <c r="B19" s="11" t="str">
        <f>IF(A19="","",'Case inputs'!C19)</f>
        <v>INITIAL</v>
      </c>
      <c r="C19" s="11" t="str">
        <f>IF('Case inputs'!I19="","",IF(Assumptions!$B$38&lt;&gt;"OK","ASSUMPTIONS INVALID",'Case inputs'!I19))</f>
        <v>OK</v>
      </c>
      <c r="D19" s="11">
        <f>IF(C19&lt;&gt;"OK","",VLOOKUP('Case inputs'!E19,Benchmarks!$A$6:$C$164,3,FALSE))</f>
        <v>8</v>
      </c>
      <c r="E19" s="11">
        <f>IF(C19&lt;&gt;"OK","",Assumptions!$B$5-'Case inputs'!D19)</f>
        <v>61</v>
      </c>
      <c r="F19" s="15">
        <f>IF(C19&lt;&gt;"OK","",IF(B19="INITIAL",'Case inputs'!D19+Assumptions!$B$10,IF(B19="RECON",'Case inputs'!D19+Assumptions!$B$11,EDATE('Case inputs'!D19,INT(D19))+ROUND(MOD(D19,1)*30.44,0))))</f>
        <v>46423</v>
      </c>
      <c r="G19" s="11" t="str">
        <f>IF(C19&lt;&gt;"OK","",IF(AND(B19="HEARING",'Case inputs'!F19&lt;&gt;"",'Case inputs'!F19&gt;=Assumptions!$B$5),"SCHEDULED",IF('Case inputs'!G19&lt;&gt;"","REVIEWED OVERRIDE",IF(F19&lt;Assumptions!$B$5,"OVERDUE: FUTURE WINDOW","BENCHMARK SCENARIO"))))</f>
        <v>BENCHMARK SCENARIO</v>
      </c>
      <c r="H19" s="15">
        <f>IF(C19&lt;&gt;"OK","",IF(G19="SCHEDULED",'Case inputs'!F19,IF('Case inputs'!G19&lt;&gt;"",'Case inputs'!G19,IF(F19&lt;Assumptions!$B$5,EDATE(Assumptions!$B$5,Assumptions!$B$17),F19))))</f>
        <v>46423</v>
      </c>
      <c r="I19" s="16">
        <f t="shared" si="0"/>
        <v>46423</v>
      </c>
      <c r="J19" s="15">
        <f>IF(C19&lt;&gt;"OK","",IF(B19="INITIAL",EDATE(I19,Assumptions!$B$12)+Assumptions!$B$11,IF(B19="RECON",H19,"")))</f>
        <v>46663</v>
      </c>
      <c r="K19" s="15">
        <f>IF(C19&lt;&gt;"OK","",IF(B19="HEARING",'Case inputs'!D19,EDATE(J19,Assumptions!$B$13)))</f>
        <v>46694</v>
      </c>
      <c r="L19" s="15">
        <f>IF(C19&lt;&gt;"OK","",IF(G19="SCHEDULED",H19,EDATE(IF(B19="HEARING",H19,EDATE(K19,INT(D19))+ROUND(MOD(D19,1)*30.44,0)),Assumptions!$B$18)))</f>
        <v>46937</v>
      </c>
      <c r="M19" s="15">
        <f>IF(C19&lt;&gt;"OK","",EDATE(L19,Assumptions!$B$15))</f>
        <v>46968</v>
      </c>
      <c r="N19" s="17">
        <f>IF(C19&lt;&gt;"OK","",IF(B19="INITIAL",Assumptions!$B$21,0))</f>
        <v>0.15</v>
      </c>
      <c r="O19" s="17">
        <f>IF(C19&lt;&gt;"OK","",IF(B19="INITIAL",(1-Assumptions!$B$21)*Assumptions!$B$24*Assumptions!$B$22,IF(B19="RECON",Assumptions!$B$22,0)))</f>
        <v>0.15300000000000002</v>
      </c>
      <c r="P19" s="17">
        <f>IF(C19&lt;&gt;"OK","",IF(B19="INITIAL",(1-Assumptions!$B$21)*Assumptions!$B$24*(1-Assumptions!$B$22)*Assumptions!$B$25,IF(B19="RECON",(1-Assumptions!$B$22)*Assumptions!$B$25,1)))</f>
        <v>0.55080000000000007</v>
      </c>
      <c r="Q19" s="17">
        <f>IF(C19&lt;&gt;"OK","",IF(B19="INITIAL",(1-Assumptions!$B$21)*(1-Assumptions!$B$24),0))</f>
        <v>8.4999999999999978E-2</v>
      </c>
      <c r="R19" s="17">
        <f>IF(C19&lt;&gt;"OK","",IF(B19="INITIAL",(1-Assumptions!$B$21)*Assumptions!$B$24*(1-Assumptions!$B$22)*(1-Assumptions!$B$25),IF(B19="RECON",(1-Assumptions!$B$22)*(1-Assumptions!$B$25),0)))</f>
        <v>6.1199999999999997E-2</v>
      </c>
      <c r="S19" s="17">
        <f>IF(C19&lt;&gt;"OK","",P19*Assumptions!$B$23)</f>
        <v>0.30294000000000004</v>
      </c>
      <c r="T19" s="17">
        <f>IF(C19&lt;&gt;"OK","",P19*(1-Assumptions!$B$23))</f>
        <v>0.24786</v>
      </c>
      <c r="U19" s="18">
        <f t="shared" si="1"/>
        <v>1</v>
      </c>
      <c r="V19" s="15">
        <f>IF(C19&lt;&gt;"OK","",IF(B19="INITIAL",EDATE(I19,Assumptions!$B$14),""))</f>
        <v>46451</v>
      </c>
      <c r="W19" s="15">
        <f>IF(C19&lt;&gt;"OK","",IF(B19="HEARING","",EDATE(J19,Assumptions!$B$14)))</f>
        <v>46694</v>
      </c>
      <c r="X19" s="15">
        <f>IF(C19&lt;&gt;"OK","",EDATE(M19,Assumptions!$B$16))</f>
        <v>47029</v>
      </c>
    </row>
    <row r="20" spans="1:24" ht="22" customHeight="1">
      <c r="A20" s="11" t="str">
        <f>IF('Case inputs'!A20="","",'Case inputs'!A20)</f>
        <v>I-015</v>
      </c>
      <c r="B20" s="11" t="str">
        <f>IF(A20="","",'Case inputs'!C20)</f>
        <v>INITIAL</v>
      </c>
      <c r="C20" s="11" t="str">
        <f>IF('Case inputs'!I20="","",IF(Assumptions!$B$38&lt;&gt;"OK","ASSUMPTIONS INVALID",'Case inputs'!I20))</f>
        <v>OK</v>
      </c>
      <c r="D20" s="11">
        <f>IF(C20&lt;&gt;"OK","",VLOOKUP('Case inputs'!E20,Benchmarks!$A$6:$C$164,3,FALSE))</f>
        <v>8</v>
      </c>
      <c r="E20" s="11">
        <f>IF(C20&lt;&gt;"OK","",Assumptions!$B$5-'Case inputs'!D20)</f>
        <v>61</v>
      </c>
      <c r="F20" s="15">
        <f>IF(C20&lt;&gt;"OK","",IF(B20="INITIAL",'Case inputs'!D20+Assumptions!$B$10,IF(B20="RECON",'Case inputs'!D20+Assumptions!$B$11,EDATE('Case inputs'!D20,INT(D20))+ROUND(MOD(D20,1)*30.44,0))))</f>
        <v>46423</v>
      </c>
      <c r="G20" s="11" t="str">
        <f>IF(C20&lt;&gt;"OK","",IF(AND(B20="HEARING",'Case inputs'!F20&lt;&gt;"",'Case inputs'!F20&gt;=Assumptions!$B$5),"SCHEDULED",IF('Case inputs'!G20&lt;&gt;"","REVIEWED OVERRIDE",IF(F20&lt;Assumptions!$B$5,"OVERDUE: FUTURE WINDOW","BENCHMARK SCENARIO"))))</f>
        <v>BENCHMARK SCENARIO</v>
      </c>
      <c r="H20" s="15">
        <f>IF(C20&lt;&gt;"OK","",IF(G20="SCHEDULED",'Case inputs'!F20,IF('Case inputs'!G20&lt;&gt;"",'Case inputs'!G20,IF(F20&lt;Assumptions!$B$5,EDATE(Assumptions!$B$5,Assumptions!$B$17),F20))))</f>
        <v>46423</v>
      </c>
      <c r="I20" s="16">
        <f t="shared" si="0"/>
        <v>46423</v>
      </c>
      <c r="J20" s="15">
        <f>IF(C20&lt;&gt;"OK","",IF(B20="INITIAL",EDATE(I20,Assumptions!$B$12)+Assumptions!$B$11,IF(B20="RECON",H20,"")))</f>
        <v>46663</v>
      </c>
      <c r="K20" s="15">
        <f>IF(C20&lt;&gt;"OK","",IF(B20="HEARING",'Case inputs'!D20,EDATE(J20,Assumptions!$B$13)))</f>
        <v>46694</v>
      </c>
      <c r="L20" s="15">
        <f>IF(C20&lt;&gt;"OK","",IF(G20="SCHEDULED",H20,EDATE(IF(B20="HEARING",H20,EDATE(K20,INT(D20))+ROUND(MOD(D20,1)*30.44,0)),Assumptions!$B$18)))</f>
        <v>46937</v>
      </c>
      <c r="M20" s="15">
        <f>IF(C20&lt;&gt;"OK","",EDATE(L20,Assumptions!$B$15))</f>
        <v>46968</v>
      </c>
      <c r="N20" s="17">
        <f>IF(C20&lt;&gt;"OK","",IF(B20="INITIAL",Assumptions!$B$21,0))</f>
        <v>0.15</v>
      </c>
      <c r="O20" s="17">
        <f>IF(C20&lt;&gt;"OK","",IF(B20="INITIAL",(1-Assumptions!$B$21)*Assumptions!$B$24*Assumptions!$B$22,IF(B20="RECON",Assumptions!$B$22,0)))</f>
        <v>0.15300000000000002</v>
      </c>
      <c r="P20" s="17">
        <f>IF(C20&lt;&gt;"OK","",IF(B20="INITIAL",(1-Assumptions!$B$21)*Assumptions!$B$24*(1-Assumptions!$B$22)*Assumptions!$B$25,IF(B20="RECON",(1-Assumptions!$B$22)*Assumptions!$B$25,1)))</f>
        <v>0.55080000000000007</v>
      </c>
      <c r="Q20" s="17">
        <f>IF(C20&lt;&gt;"OK","",IF(B20="INITIAL",(1-Assumptions!$B$21)*(1-Assumptions!$B$24),0))</f>
        <v>8.4999999999999978E-2</v>
      </c>
      <c r="R20" s="17">
        <f>IF(C20&lt;&gt;"OK","",IF(B20="INITIAL",(1-Assumptions!$B$21)*Assumptions!$B$24*(1-Assumptions!$B$22)*(1-Assumptions!$B$25),IF(B20="RECON",(1-Assumptions!$B$22)*(1-Assumptions!$B$25),0)))</f>
        <v>6.1199999999999997E-2</v>
      </c>
      <c r="S20" s="17">
        <f>IF(C20&lt;&gt;"OK","",P20*Assumptions!$B$23)</f>
        <v>0.30294000000000004</v>
      </c>
      <c r="T20" s="17">
        <f>IF(C20&lt;&gt;"OK","",P20*(1-Assumptions!$B$23))</f>
        <v>0.24786</v>
      </c>
      <c r="U20" s="18">
        <f t="shared" si="1"/>
        <v>1</v>
      </c>
      <c r="V20" s="15">
        <f>IF(C20&lt;&gt;"OK","",IF(B20="INITIAL",EDATE(I20,Assumptions!$B$14),""))</f>
        <v>46451</v>
      </c>
      <c r="W20" s="15">
        <f>IF(C20&lt;&gt;"OK","",IF(B20="HEARING","",EDATE(J20,Assumptions!$B$14)))</f>
        <v>46694</v>
      </c>
      <c r="X20" s="15">
        <f>IF(C20&lt;&gt;"OK","",EDATE(M20,Assumptions!$B$16))</f>
        <v>47029</v>
      </c>
    </row>
    <row r="21" spans="1:24" ht="22" customHeight="1">
      <c r="A21" s="11" t="str">
        <f>IF('Case inputs'!A21="","",'Case inputs'!A21)</f>
        <v>I-016</v>
      </c>
      <c r="B21" s="11" t="str">
        <f>IF(A21="","",'Case inputs'!C21)</f>
        <v>INITIAL</v>
      </c>
      <c r="C21" s="11" t="str">
        <f>IF('Case inputs'!I21="","",IF(Assumptions!$B$38&lt;&gt;"OK","ASSUMPTIONS INVALID",'Case inputs'!I21))</f>
        <v>OK</v>
      </c>
      <c r="D21" s="11">
        <f>IF(C21&lt;&gt;"OK","",VLOOKUP('Case inputs'!E21,Benchmarks!$A$6:$C$164,3,FALSE))</f>
        <v>8</v>
      </c>
      <c r="E21" s="11">
        <f>IF(C21&lt;&gt;"OK","",Assumptions!$B$5-'Case inputs'!D21)</f>
        <v>61</v>
      </c>
      <c r="F21" s="15">
        <f>IF(C21&lt;&gt;"OK","",IF(B21="INITIAL",'Case inputs'!D21+Assumptions!$B$10,IF(B21="RECON",'Case inputs'!D21+Assumptions!$B$11,EDATE('Case inputs'!D21,INT(D21))+ROUND(MOD(D21,1)*30.44,0))))</f>
        <v>46423</v>
      </c>
      <c r="G21" s="11" t="str">
        <f>IF(C21&lt;&gt;"OK","",IF(AND(B21="HEARING",'Case inputs'!F21&lt;&gt;"",'Case inputs'!F21&gt;=Assumptions!$B$5),"SCHEDULED",IF('Case inputs'!G21&lt;&gt;"","REVIEWED OVERRIDE",IF(F21&lt;Assumptions!$B$5,"OVERDUE: FUTURE WINDOW","BENCHMARK SCENARIO"))))</f>
        <v>BENCHMARK SCENARIO</v>
      </c>
      <c r="H21" s="15">
        <f>IF(C21&lt;&gt;"OK","",IF(G21="SCHEDULED",'Case inputs'!F21,IF('Case inputs'!G21&lt;&gt;"",'Case inputs'!G21,IF(F21&lt;Assumptions!$B$5,EDATE(Assumptions!$B$5,Assumptions!$B$17),F21))))</f>
        <v>46423</v>
      </c>
      <c r="I21" s="16">
        <f t="shared" si="0"/>
        <v>46423</v>
      </c>
      <c r="J21" s="15">
        <f>IF(C21&lt;&gt;"OK","",IF(B21="INITIAL",EDATE(I21,Assumptions!$B$12)+Assumptions!$B$11,IF(B21="RECON",H21,"")))</f>
        <v>46663</v>
      </c>
      <c r="K21" s="15">
        <f>IF(C21&lt;&gt;"OK","",IF(B21="HEARING",'Case inputs'!D21,EDATE(J21,Assumptions!$B$13)))</f>
        <v>46694</v>
      </c>
      <c r="L21" s="15">
        <f>IF(C21&lt;&gt;"OK","",IF(G21="SCHEDULED",H21,EDATE(IF(B21="HEARING",H21,EDATE(K21,INT(D21))+ROUND(MOD(D21,1)*30.44,0)),Assumptions!$B$18)))</f>
        <v>46937</v>
      </c>
      <c r="M21" s="15">
        <f>IF(C21&lt;&gt;"OK","",EDATE(L21,Assumptions!$B$15))</f>
        <v>46968</v>
      </c>
      <c r="N21" s="17">
        <f>IF(C21&lt;&gt;"OK","",IF(B21="INITIAL",Assumptions!$B$21,0))</f>
        <v>0.15</v>
      </c>
      <c r="O21" s="17">
        <f>IF(C21&lt;&gt;"OK","",IF(B21="INITIAL",(1-Assumptions!$B$21)*Assumptions!$B$24*Assumptions!$B$22,IF(B21="RECON",Assumptions!$B$22,0)))</f>
        <v>0.15300000000000002</v>
      </c>
      <c r="P21" s="17">
        <f>IF(C21&lt;&gt;"OK","",IF(B21="INITIAL",(1-Assumptions!$B$21)*Assumptions!$B$24*(1-Assumptions!$B$22)*Assumptions!$B$25,IF(B21="RECON",(1-Assumptions!$B$22)*Assumptions!$B$25,1)))</f>
        <v>0.55080000000000007</v>
      </c>
      <c r="Q21" s="17">
        <f>IF(C21&lt;&gt;"OK","",IF(B21="INITIAL",(1-Assumptions!$B$21)*(1-Assumptions!$B$24),0))</f>
        <v>8.4999999999999978E-2</v>
      </c>
      <c r="R21" s="17">
        <f>IF(C21&lt;&gt;"OK","",IF(B21="INITIAL",(1-Assumptions!$B$21)*Assumptions!$B$24*(1-Assumptions!$B$22)*(1-Assumptions!$B$25),IF(B21="RECON",(1-Assumptions!$B$22)*(1-Assumptions!$B$25),0)))</f>
        <v>6.1199999999999997E-2</v>
      </c>
      <c r="S21" s="17">
        <f>IF(C21&lt;&gt;"OK","",P21*Assumptions!$B$23)</f>
        <v>0.30294000000000004</v>
      </c>
      <c r="T21" s="17">
        <f>IF(C21&lt;&gt;"OK","",P21*(1-Assumptions!$B$23))</f>
        <v>0.24786</v>
      </c>
      <c r="U21" s="18">
        <f t="shared" si="1"/>
        <v>1</v>
      </c>
      <c r="V21" s="15">
        <f>IF(C21&lt;&gt;"OK","",IF(B21="INITIAL",EDATE(I21,Assumptions!$B$14),""))</f>
        <v>46451</v>
      </c>
      <c r="W21" s="15">
        <f>IF(C21&lt;&gt;"OK","",IF(B21="HEARING","",EDATE(J21,Assumptions!$B$14)))</f>
        <v>46694</v>
      </c>
      <c r="X21" s="15">
        <f>IF(C21&lt;&gt;"OK","",EDATE(M21,Assumptions!$B$16))</f>
        <v>47029</v>
      </c>
    </row>
    <row r="22" spans="1:24" ht="22" customHeight="1">
      <c r="A22" s="11" t="str">
        <f>IF('Case inputs'!A22="","",'Case inputs'!A22)</f>
        <v>I-017</v>
      </c>
      <c r="B22" s="11" t="str">
        <f>IF(A22="","",'Case inputs'!C22)</f>
        <v>INITIAL</v>
      </c>
      <c r="C22" s="11" t="str">
        <f>IF('Case inputs'!I22="","",IF(Assumptions!$B$38&lt;&gt;"OK","ASSUMPTIONS INVALID",'Case inputs'!I22))</f>
        <v>OK</v>
      </c>
      <c r="D22" s="11">
        <f>IF(C22&lt;&gt;"OK","",VLOOKUP('Case inputs'!E22,Benchmarks!$A$6:$C$164,3,FALSE))</f>
        <v>8</v>
      </c>
      <c r="E22" s="11">
        <f>IF(C22&lt;&gt;"OK","",Assumptions!$B$5-'Case inputs'!D22)</f>
        <v>61</v>
      </c>
      <c r="F22" s="15">
        <f>IF(C22&lt;&gt;"OK","",IF(B22="INITIAL",'Case inputs'!D22+Assumptions!$B$10,IF(B22="RECON",'Case inputs'!D22+Assumptions!$B$11,EDATE('Case inputs'!D22,INT(D22))+ROUND(MOD(D22,1)*30.44,0))))</f>
        <v>46423</v>
      </c>
      <c r="G22" s="11" t="str">
        <f>IF(C22&lt;&gt;"OK","",IF(AND(B22="HEARING",'Case inputs'!F22&lt;&gt;"",'Case inputs'!F22&gt;=Assumptions!$B$5),"SCHEDULED",IF('Case inputs'!G22&lt;&gt;"","REVIEWED OVERRIDE",IF(F22&lt;Assumptions!$B$5,"OVERDUE: FUTURE WINDOW","BENCHMARK SCENARIO"))))</f>
        <v>BENCHMARK SCENARIO</v>
      </c>
      <c r="H22" s="15">
        <f>IF(C22&lt;&gt;"OK","",IF(G22="SCHEDULED",'Case inputs'!F22,IF('Case inputs'!G22&lt;&gt;"",'Case inputs'!G22,IF(F22&lt;Assumptions!$B$5,EDATE(Assumptions!$B$5,Assumptions!$B$17),F22))))</f>
        <v>46423</v>
      </c>
      <c r="I22" s="16">
        <f t="shared" si="0"/>
        <v>46423</v>
      </c>
      <c r="J22" s="15">
        <f>IF(C22&lt;&gt;"OK","",IF(B22="INITIAL",EDATE(I22,Assumptions!$B$12)+Assumptions!$B$11,IF(B22="RECON",H22,"")))</f>
        <v>46663</v>
      </c>
      <c r="K22" s="15">
        <f>IF(C22&lt;&gt;"OK","",IF(B22="HEARING",'Case inputs'!D22,EDATE(J22,Assumptions!$B$13)))</f>
        <v>46694</v>
      </c>
      <c r="L22" s="15">
        <f>IF(C22&lt;&gt;"OK","",IF(G22="SCHEDULED",H22,EDATE(IF(B22="HEARING",H22,EDATE(K22,INT(D22))+ROUND(MOD(D22,1)*30.44,0)),Assumptions!$B$18)))</f>
        <v>46937</v>
      </c>
      <c r="M22" s="15">
        <f>IF(C22&lt;&gt;"OK","",EDATE(L22,Assumptions!$B$15))</f>
        <v>46968</v>
      </c>
      <c r="N22" s="17">
        <f>IF(C22&lt;&gt;"OK","",IF(B22="INITIAL",Assumptions!$B$21,0))</f>
        <v>0.15</v>
      </c>
      <c r="O22" s="17">
        <f>IF(C22&lt;&gt;"OK","",IF(B22="INITIAL",(1-Assumptions!$B$21)*Assumptions!$B$24*Assumptions!$B$22,IF(B22="RECON",Assumptions!$B$22,0)))</f>
        <v>0.15300000000000002</v>
      </c>
      <c r="P22" s="17">
        <f>IF(C22&lt;&gt;"OK","",IF(B22="INITIAL",(1-Assumptions!$B$21)*Assumptions!$B$24*(1-Assumptions!$B$22)*Assumptions!$B$25,IF(B22="RECON",(1-Assumptions!$B$22)*Assumptions!$B$25,1)))</f>
        <v>0.55080000000000007</v>
      </c>
      <c r="Q22" s="17">
        <f>IF(C22&lt;&gt;"OK","",IF(B22="INITIAL",(1-Assumptions!$B$21)*(1-Assumptions!$B$24),0))</f>
        <v>8.4999999999999978E-2</v>
      </c>
      <c r="R22" s="17">
        <f>IF(C22&lt;&gt;"OK","",IF(B22="INITIAL",(1-Assumptions!$B$21)*Assumptions!$B$24*(1-Assumptions!$B$22)*(1-Assumptions!$B$25),IF(B22="RECON",(1-Assumptions!$B$22)*(1-Assumptions!$B$25),0)))</f>
        <v>6.1199999999999997E-2</v>
      </c>
      <c r="S22" s="17">
        <f>IF(C22&lt;&gt;"OK","",P22*Assumptions!$B$23)</f>
        <v>0.30294000000000004</v>
      </c>
      <c r="T22" s="17">
        <f>IF(C22&lt;&gt;"OK","",P22*(1-Assumptions!$B$23))</f>
        <v>0.24786</v>
      </c>
      <c r="U22" s="18">
        <f t="shared" si="1"/>
        <v>1</v>
      </c>
      <c r="V22" s="15">
        <f>IF(C22&lt;&gt;"OK","",IF(B22="INITIAL",EDATE(I22,Assumptions!$B$14),""))</f>
        <v>46451</v>
      </c>
      <c r="W22" s="15">
        <f>IF(C22&lt;&gt;"OK","",IF(B22="HEARING","",EDATE(J22,Assumptions!$B$14)))</f>
        <v>46694</v>
      </c>
      <c r="X22" s="15">
        <f>IF(C22&lt;&gt;"OK","",EDATE(M22,Assumptions!$B$16))</f>
        <v>47029</v>
      </c>
    </row>
    <row r="23" spans="1:24" ht="22" customHeight="1">
      <c r="A23" s="11" t="str">
        <f>IF('Case inputs'!A23="","",'Case inputs'!A23)</f>
        <v>I-018</v>
      </c>
      <c r="B23" s="11" t="str">
        <f>IF(A23="","",'Case inputs'!C23)</f>
        <v>INITIAL</v>
      </c>
      <c r="C23" s="11" t="str">
        <f>IF('Case inputs'!I23="","",IF(Assumptions!$B$38&lt;&gt;"OK","ASSUMPTIONS INVALID",'Case inputs'!I23))</f>
        <v>OK</v>
      </c>
      <c r="D23" s="11">
        <f>IF(C23&lt;&gt;"OK","",VLOOKUP('Case inputs'!E23,Benchmarks!$A$6:$C$164,3,FALSE))</f>
        <v>8</v>
      </c>
      <c r="E23" s="11">
        <f>IF(C23&lt;&gt;"OK","",Assumptions!$B$5-'Case inputs'!D23)</f>
        <v>61</v>
      </c>
      <c r="F23" s="15">
        <f>IF(C23&lt;&gt;"OK","",IF(B23="INITIAL",'Case inputs'!D23+Assumptions!$B$10,IF(B23="RECON",'Case inputs'!D23+Assumptions!$B$11,EDATE('Case inputs'!D23,INT(D23))+ROUND(MOD(D23,1)*30.44,0))))</f>
        <v>46423</v>
      </c>
      <c r="G23" s="11" t="str">
        <f>IF(C23&lt;&gt;"OK","",IF(AND(B23="HEARING",'Case inputs'!F23&lt;&gt;"",'Case inputs'!F23&gt;=Assumptions!$B$5),"SCHEDULED",IF('Case inputs'!G23&lt;&gt;"","REVIEWED OVERRIDE",IF(F23&lt;Assumptions!$B$5,"OVERDUE: FUTURE WINDOW","BENCHMARK SCENARIO"))))</f>
        <v>BENCHMARK SCENARIO</v>
      </c>
      <c r="H23" s="15">
        <f>IF(C23&lt;&gt;"OK","",IF(G23="SCHEDULED",'Case inputs'!F23,IF('Case inputs'!G23&lt;&gt;"",'Case inputs'!G23,IF(F23&lt;Assumptions!$B$5,EDATE(Assumptions!$B$5,Assumptions!$B$17),F23))))</f>
        <v>46423</v>
      </c>
      <c r="I23" s="16">
        <f t="shared" si="0"/>
        <v>46423</v>
      </c>
      <c r="J23" s="15">
        <f>IF(C23&lt;&gt;"OK","",IF(B23="INITIAL",EDATE(I23,Assumptions!$B$12)+Assumptions!$B$11,IF(B23="RECON",H23,"")))</f>
        <v>46663</v>
      </c>
      <c r="K23" s="15">
        <f>IF(C23&lt;&gt;"OK","",IF(B23="HEARING",'Case inputs'!D23,EDATE(J23,Assumptions!$B$13)))</f>
        <v>46694</v>
      </c>
      <c r="L23" s="15">
        <f>IF(C23&lt;&gt;"OK","",IF(G23="SCHEDULED",H23,EDATE(IF(B23="HEARING",H23,EDATE(K23,INT(D23))+ROUND(MOD(D23,1)*30.44,0)),Assumptions!$B$18)))</f>
        <v>46937</v>
      </c>
      <c r="M23" s="15">
        <f>IF(C23&lt;&gt;"OK","",EDATE(L23,Assumptions!$B$15))</f>
        <v>46968</v>
      </c>
      <c r="N23" s="17">
        <f>IF(C23&lt;&gt;"OK","",IF(B23="INITIAL",Assumptions!$B$21,0))</f>
        <v>0.15</v>
      </c>
      <c r="O23" s="17">
        <f>IF(C23&lt;&gt;"OK","",IF(B23="INITIAL",(1-Assumptions!$B$21)*Assumptions!$B$24*Assumptions!$B$22,IF(B23="RECON",Assumptions!$B$22,0)))</f>
        <v>0.15300000000000002</v>
      </c>
      <c r="P23" s="17">
        <f>IF(C23&lt;&gt;"OK","",IF(B23="INITIAL",(1-Assumptions!$B$21)*Assumptions!$B$24*(1-Assumptions!$B$22)*Assumptions!$B$25,IF(B23="RECON",(1-Assumptions!$B$22)*Assumptions!$B$25,1)))</f>
        <v>0.55080000000000007</v>
      </c>
      <c r="Q23" s="17">
        <f>IF(C23&lt;&gt;"OK","",IF(B23="INITIAL",(1-Assumptions!$B$21)*(1-Assumptions!$B$24),0))</f>
        <v>8.4999999999999978E-2</v>
      </c>
      <c r="R23" s="17">
        <f>IF(C23&lt;&gt;"OK","",IF(B23="INITIAL",(1-Assumptions!$B$21)*Assumptions!$B$24*(1-Assumptions!$B$22)*(1-Assumptions!$B$25),IF(B23="RECON",(1-Assumptions!$B$22)*(1-Assumptions!$B$25),0)))</f>
        <v>6.1199999999999997E-2</v>
      </c>
      <c r="S23" s="17">
        <f>IF(C23&lt;&gt;"OK","",P23*Assumptions!$B$23)</f>
        <v>0.30294000000000004</v>
      </c>
      <c r="T23" s="17">
        <f>IF(C23&lt;&gt;"OK","",P23*(1-Assumptions!$B$23))</f>
        <v>0.24786</v>
      </c>
      <c r="U23" s="18">
        <f t="shared" si="1"/>
        <v>1</v>
      </c>
      <c r="V23" s="15">
        <f>IF(C23&lt;&gt;"OK","",IF(B23="INITIAL",EDATE(I23,Assumptions!$B$14),""))</f>
        <v>46451</v>
      </c>
      <c r="W23" s="15">
        <f>IF(C23&lt;&gt;"OK","",IF(B23="HEARING","",EDATE(J23,Assumptions!$B$14)))</f>
        <v>46694</v>
      </c>
      <c r="X23" s="15">
        <f>IF(C23&lt;&gt;"OK","",EDATE(M23,Assumptions!$B$16))</f>
        <v>47029</v>
      </c>
    </row>
    <row r="24" spans="1:24" ht="22" customHeight="1">
      <c r="A24" s="11" t="str">
        <f>IF('Case inputs'!A24="","",'Case inputs'!A24)</f>
        <v>I-019</v>
      </c>
      <c r="B24" s="11" t="str">
        <f>IF(A24="","",'Case inputs'!C24)</f>
        <v>INITIAL</v>
      </c>
      <c r="C24" s="11" t="str">
        <f>IF('Case inputs'!I24="","",IF(Assumptions!$B$38&lt;&gt;"OK","ASSUMPTIONS INVALID",'Case inputs'!I24))</f>
        <v>OK</v>
      </c>
      <c r="D24" s="11">
        <f>IF(C24&lt;&gt;"OK","",VLOOKUP('Case inputs'!E24,Benchmarks!$A$6:$C$164,3,FALSE))</f>
        <v>8</v>
      </c>
      <c r="E24" s="11">
        <f>IF(C24&lt;&gt;"OK","",Assumptions!$B$5-'Case inputs'!D24)</f>
        <v>61</v>
      </c>
      <c r="F24" s="15">
        <f>IF(C24&lt;&gt;"OK","",IF(B24="INITIAL",'Case inputs'!D24+Assumptions!$B$10,IF(B24="RECON",'Case inputs'!D24+Assumptions!$B$11,EDATE('Case inputs'!D24,INT(D24))+ROUND(MOD(D24,1)*30.44,0))))</f>
        <v>46423</v>
      </c>
      <c r="G24" s="11" t="str">
        <f>IF(C24&lt;&gt;"OK","",IF(AND(B24="HEARING",'Case inputs'!F24&lt;&gt;"",'Case inputs'!F24&gt;=Assumptions!$B$5),"SCHEDULED",IF('Case inputs'!G24&lt;&gt;"","REVIEWED OVERRIDE",IF(F24&lt;Assumptions!$B$5,"OVERDUE: FUTURE WINDOW","BENCHMARK SCENARIO"))))</f>
        <v>BENCHMARK SCENARIO</v>
      </c>
      <c r="H24" s="15">
        <f>IF(C24&lt;&gt;"OK","",IF(G24="SCHEDULED",'Case inputs'!F24,IF('Case inputs'!G24&lt;&gt;"",'Case inputs'!G24,IF(F24&lt;Assumptions!$B$5,EDATE(Assumptions!$B$5,Assumptions!$B$17),F24))))</f>
        <v>46423</v>
      </c>
      <c r="I24" s="16">
        <f t="shared" si="0"/>
        <v>46423</v>
      </c>
      <c r="J24" s="15">
        <f>IF(C24&lt;&gt;"OK","",IF(B24="INITIAL",EDATE(I24,Assumptions!$B$12)+Assumptions!$B$11,IF(B24="RECON",H24,"")))</f>
        <v>46663</v>
      </c>
      <c r="K24" s="15">
        <f>IF(C24&lt;&gt;"OK","",IF(B24="HEARING",'Case inputs'!D24,EDATE(J24,Assumptions!$B$13)))</f>
        <v>46694</v>
      </c>
      <c r="L24" s="15">
        <f>IF(C24&lt;&gt;"OK","",IF(G24="SCHEDULED",H24,EDATE(IF(B24="HEARING",H24,EDATE(K24,INT(D24))+ROUND(MOD(D24,1)*30.44,0)),Assumptions!$B$18)))</f>
        <v>46937</v>
      </c>
      <c r="M24" s="15">
        <f>IF(C24&lt;&gt;"OK","",EDATE(L24,Assumptions!$B$15))</f>
        <v>46968</v>
      </c>
      <c r="N24" s="17">
        <f>IF(C24&lt;&gt;"OK","",IF(B24="INITIAL",Assumptions!$B$21,0))</f>
        <v>0.15</v>
      </c>
      <c r="O24" s="17">
        <f>IF(C24&lt;&gt;"OK","",IF(B24="INITIAL",(1-Assumptions!$B$21)*Assumptions!$B$24*Assumptions!$B$22,IF(B24="RECON",Assumptions!$B$22,0)))</f>
        <v>0.15300000000000002</v>
      </c>
      <c r="P24" s="17">
        <f>IF(C24&lt;&gt;"OK","",IF(B24="INITIAL",(1-Assumptions!$B$21)*Assumptions!$B$24*(1-Assumptions!$B$22)*Assumptions!$B$25,IF(B24="RECON",(1-Assumptions!$B$22)*Assumptions!$B$25,1)))</f>
        <v>0.55080000000000007</v>
      </c>
      <c r="Q24" s="17">
        <f>IF(C24&lt;&gt;"OK","",IF(B24="INITIAL",(1-Assumptions!$B$21)*(1-Assumptions!$B$24),0))</f>
        <v>8.4999999999999978E-2</v>
      </c>
      <c r="R24" s="17">
        <f>IF(C24&lt;&gt;"OK","",IF(B24="INITIAL",(1-Assumptions!$B$21)*Assumptions!$B$24*(1-Assumptions!$B$22)*(1-Assumptions!$B$25),IF(B24="RECON",(1-Assumptions!$B$22)*(1-Assumptions!$B$25),0)))</f>
        <v>6.1199999999999997E-2</v>
      </c>
      <c r="S24" s="17">
        <f>IF(C24&lt;&gt;"OK","",P24*Assumptions!$B$23)</f>
        <v>0.30294000000000004</v>
      </c>
      <c r="T24" s="17">
        <f>IF(C24&lt;&gt;"OK","",P24*(1-Assumptions!$B$23))</f>
        <v>0.24786</v>
      </c>
      <c r="U24" s="18">
        <f t="shared" si="1"/>
        <v>1</v>
      </c>
      <c r="V24" s="15">
        <f>IF(C24&lt;&gt;"OK","",IF(B24="INITIAL",EDATE(I24,Assumptions!$B$14),""))</f>
        <v>46451</v>
      </c>
      <c r="W24" s="15">
        <f>IF(C24&lt;&gt;"OK","",IF(B24="HEARING","",EDATE(J24,Assumptions!$B$14)))</f>
        <v>46694</v>
      </c>
      <c r="X24" s="15">
        <f>IF(C24&lt;&gt;"OK","",EDATE(M24,Assumptions!$B$16))</f>
        <v>47029</v>
      </c>
    </row>
    <row r="25" spans="1:24" ht="22" customHeight="1">
      <c r="A25" s="11" t="str">
        <f>IF('Case inputs'!A25="","",'Case inputs'!A25)</f>
        <v>I-020</v>
      </c>
      <c r="B25" s="11" t="str">
        <f>IF(A25="","",'Case inputs'!C25)</f>
        <v>INITIAL</v>
      </c>
      <c r="C25" s="11" t="str">
        <f>IF('Case inputs'!I25="","",IF(Assumptions!$B$38&lt;&gt;"OK","ASSUMPTIONS INVALID",'Case inputs'!I25))</f>
        <v>OK</v>
      </c>
      <c r="D25" s="11">
        <f>IF(C25&lt;&gt;"OK","",VLOOKUP('Case inputs'!E25,Benchmarks!$A$6:$C$164,3,FALSE))</f>
        <v>8</v>
      </c>
      <c r="E25" s="11">
        <f>IF(C25&lt;&gt;"OK","",Assumptions!$B$5-'Case inputs'!D25)</f>
        <v>61</v>
      </c>
      <c r="F25" s="15">
        <f>IF(C25&lt;&gt;"OK","",IF(B25="INITIAL",'Case inputs'!D25+Assumptions!$B$10,IF(B25="RECON",'Case inputs'!D25+Assumptions!$B$11,EDATE('Case inputs'!D25,INT(D25))+ROUND(MOD(D25,1)*30.44,0))))</f>
        <v>46423</v>
      </c>
      <c r="G25" s="11" t="str">
        <f>IF(C25&lt;&gt;"OK","",IF(AND(B25="HEARING",'Case inputs'!F25&lt;&gt;"",'Case inputs'!F25&gt;=Assumptions!$B$5),"SCHEDULED",IF('Case inputs'!G25&lt;&gt;"","REVIEWED OVERRIDE",IF(F25&lt;Assumptions!$B$5,"OVERDUE: FUTURE WINDOW","BENCHMARK SCENARIO"))))</f>
        <v>BENCHMARK SCENARIO</v>
      </c>
      <c r="H25" s="15">
        <f>IF(C25&lt;&gt;"OK","",IF(G25="SCHEDULED",'Case inputs'!F25,IF('Case inputs'!G25&lt;&gt;"",'Case inputs'!G25,IF(F25&lt;Assumptions!$B$5,EDATE(Assumptions!$B$5,Assumptions!$B$17),F25))))</f>
        <v>46423</v>
      </c>
      <c r="I25" s="16">
        <f t="shared" si="0"/>
        <v>46423</v>
      </c>
      <c r="J25" s="15">
        <f>IF(C25&lt;&gt;"OK","",IF(B25="INITIAL",EDATE(I25,Assumptions!$B$12)+Assumptions!$B$11,IF(B25="RECON",H25,"")))</f>
        <v>46663</v>
      </c>
      <c r="K25" s="15">
        <f>IF(C25&lt;&gt;"OK","",IF(B25="HEARING",'Case inputs'!D25,EDATE(J25,Assumptions!$B$13)))</f>
        <v>46694</v>
      </c>
      <c r="L25" s="15">
        <f>IF(C25&lt;&gt;"OK","",IF(G25="SCHEDULED",H25,EDATE(IF(B25="HEARING",H25,EDATE(K25,INT(D25))+ROUND(MOD(D25,1)*30.44,0)),Assumptions!$B$18)))</f>
        <v>46937</v>
      </c>
      <c r="M25" s="15">
        <f>IF(C25&lt;&gt;"OK","",EDATE(L25,Assumptions!$B$15))</f>
        <v>46968</v>
      </c>
      <c r="N25" s="17">
        <f>IF(C25&lt;&gt;"OK","",IF(B25="INITIAL",Assumptions!$B$21,0))</f>
        <v>0.15</v>
      </c>
      <c r="O25" s="17">
        <f>IF(C25&lt;&gt;"OK","",IF(B25="INITIAL",(1-Assumptions!$B$21)*Assumptions!$B$24*Assumptions!$B$22,IF(B25="RECON",Assumptions!$B$22,0)))</f>
        <v>0.15300000000000002</v>
      </c>
      <c r="P25" s="17">
        <f>IF(C25&lt;&gt;"OK","",IF(B25="INITIAL",(1-Assumptions!$B$21)*Assumptions!$B$24*(1-Assumptions!$B$22)*Assumptions!$B$25,IF(B25="RECON",(1-Assumptions!$B$22)*Assumptions!$B$25,1)))</f>
        <v>0.55080000000000007</v>
      </c>
      <c r="Q25" s="17">
        <f>IF(C25&lt;&gt;"OK","",IF(B25="INITIAL",(1-Assumptions!$B$21)*(1-Assumptions!$B$24),0))</f>
        <v>8.4999999999999978E-2</v>
      </c>
      <c r="R25" s="17">
        <f>IF(C25&lt;&gt;"OK","",IF(B25="INITIAL",(1-Assumptions!$B$21)*Assumptions!$B$24*(1-Assumptions!$B$22)*(1-Assumptions!$B$25),IF(B25="RECON",(1-Assumptions!$B$22)*(1-Assumptions!$B$25),0)))</f>
        <v>6.1199999999999997E-2</v>
      </c>
      <c r="S25" s="17">
        <f>IF(C25&lt;&gt;"OK","",P25*Assumptions!$B$23)</f>
        <v>0.30294000000000004</v>
      </c>
      <c r="T25" s="17">
        <f>IF(C25&lt;&gt;"OK","",P25*(1-Assumptions!$B$23))</f>
        <v>0.24786</v>
      </c>
      <c r="U25" s="18">
        <f t="shared" si="1"/>
        <v>1</v>
      </c>
      <c r="V25" s="15">
        <f>IF(C25&lt;&gt;"OK","",IF(B25="INITIAL",EDATE(I25,Assumptions!$B$14),""))</f>
        <v>46451</v>
      </c>
      <c r="W25" s="15">
        <f>IF(C25&lt;&gt;"OK","",IF(B25="HEARING","",EDATE(J25,Assumptions!$B$14)))</f>
        <v>46694</v>
      </c>
      <c r="X25" s="15">
        <f>IF(C25&lt;&gt;"OK","",EDATE(M25,Assumptions!$B$16))</f>
        <v>47029</v>
      </c>
    </row>
    <row r="26" spans="1:24" ht="22" customHeight="1">
      <c r="A26" s="11" t="str">
        <f>IF('Case inputs'!A26="","",'Case inputs'!A26)</f>
        <v>I-021</v>
      </c>
      <c r="B26" s="11" t="str">
        <f>IF(A26="","",'Case inputs'!C26)</f>
        <v>INITIAL</v>
      </c>
      <c r="C26" s="11" t="str">
        <f>IF('Case inputs'!I26="","",IF(Assumptions!$B$38&lt;&gt;"OK","ASSUMPTIONS INVALID",'Case inputs'!I26))</f>
        <v>OK</v>
      </c>
      <c r="D26" s="11">
        <f>IF(C26&lt;&gt;"OK","",VLOOKUP('Case inputs'!E26,Benchmarks!$A$6:$C$164,3,FALSE))</f>
        <v>8</v>
      </c>
      <c r="E26" s="11">
        <f>IF(C26&lt;&gt;"OK","",Assumptions!$B$5-'Case inputs'!D26)</f>
        <v>30</v>
      </c>
      <c r="F26" s="15">
        <f>IF(C26&lt;&gt;"OK","",IF(B26="INITIAL",'Case inputs'!D26+Assumptions!$B$10,IF(B26="RECON",'Case inputs'!D26+Assumptions!$B$11,EDATE('Case inputs'!D26,INT(D26))+ROUND(MOD(D26,1)*30.44,0))))</f>
        <v>46454</v>
      </c>
      <c r="G26" s="11" t="str">
        <f>IF(C26&lt;&gt;"OK","",IF(AND(B26="HEARING",'Case inputs'!F26&lt;&gt;"",'Case inputs'!F26&gt;=Assumptions!$B$5),"SCHEDULED",IF('Case inputs'!G26&lt;&gt;"","REVIEWED OVERRIDE",IF(F26&lt;Assumptions!$B$5,"OVERDUE: FUTURE WINDOW","BENCHMARK SCENARIO"))))</f>
        <v>BENCHMARK SCENARIO</v>
      </c>
      <c r="H26" s="15">
        <f>IF(C26&lt;&gt;"OK","",IF(G26="SCHEDULED",'Case inputs'!F26,IF('Case inputs'!G26&lt;&gt;"",'Case inputs'!G26,IF(F26&lt;Assumptions!$B$5,EDATE(Assumptions!$B$5,Assumptions!$B$17),F26))))</f>
        <v>46454</v>
      </c>
      <c r="I26" s="16">
        <f t="shared" si="0"/>
        <v>46454</v>
      </c>
      <c r="J26" s="15">
        <f>IF(C26&lt;&gt;"OK","",IF(B26="INITIAL",EDATE(I26,Assumptions!$B$12)+Assumptions!$B$11,IF(B26="RECON",H26,"")))</f>
        <v>46697</v>
      </c>
      <c r="K26" s="15">
        <f>IF(C26&lt;&gt;"OK","",IF(B26="HEARING",'Case inputs'!D26,EDATE(J26,Assumptions!$B$13)))</f>
        <v>46727</v>
      </c>
      <c r="L26" s="15">
        <f>IF(C26&lt;&gt;"OK","",IF(G26="SCHEDULED",H26,EDATE(IF(B26="HEARING",H26,EDATE(K26,INT(D26))+ROUND(MOD(D26,1)*30.44,0)),Assumptions!$B$18)))</f>
        <v>46971</v>
      </c>
      <c r="M26" s="15">
        <f>IF(C26&lt;&gt;"OK","",EDATE(L26,Assumptions!$B$15))</f>
        <v>47002</v>
      </c>
      <c r="N26" s="17">
        <f>IF(C26&lt;&gt;"OK","",IF(B26="INITIAL",Assumptions!$B$21,0))</f>
        <v>0.15</v>
      </c>
      <c r="O26" s="17">
        <f>IF(C26&lt;&gt;"OK","",IF(B26="INITIAL",(1-Assumptions!$B$21)*Assumptions!$B$24*Assumptions!$B$22,IF(B26="RECON",Assumptions!$B$22,0)))</f>
        <v>0.15300000000000002</v>
      </c>
      <c r="P26" s="17">
        <f>IF(C26&lt;&gt;"OK","",IF(B26="INITIAL",(1-Assumptions!$B$21)*Assumptions!$B$24*(1-Assumptions!$B$22)*Assumptions!$B$25,IF(B26="RECON",(1-Assumptions!$B$22)*Assumptions!$B$25,1)))</f>
        <v>0.55080000000000007</v>
      </c>
      <c r="Q26" s="17">
        <f>IF(C26&lt;&gt;"OK","",IF(B26="INITIAL",(1-Assumptions!$B$21)*(1-Assumptions!$B$24),0))</f>
        <v>8.4999999999999978E-2</v>
      </c>
      <c r="R26" s="17">
        <f>IF(C26&lt;&gt;"OK","",IF(B26="INITIAL",(1-Assumptions!$B$21)*Assumptions!$B$24*(1-Assumptions!$B$22)*(1-Assumptions!$B$25),IF(B26="RECON",(1-Assumptions!$B$22)*(1-Assumptions!$B$25),0)))</f>
        <v>6.1199999999999997E-2</v>
      </c>
      <c r="S26" s="17">
        <f>IF(C26&lt;&gt;"OK","",P26*Assumptions!$B$23)</f>
        <v>0.30294000000000004</v>
      </c>
      <c r="T26" s="17">
        <f>IF(C26&lt;&gt;"OK","",P26*(1-Assumptions!$B$23))</f>
        <v>0.24786</v>
      </c>
      <c r="U26" s="18">
        <f t="shared" si="1"/>
        <v>1</v>
      </c>
      <c r="V26" s="15">
        <f>IF(C26&lt;&gt;"OK","",IF(B26="INITIAL",EDATE(I26,Assumptions!$B$14),""))</f>
        <v>46485</v>
      </c>
      <c r="W26" s="15">
        <f>IF(C26&lt;&gt;"OK","",IF(B26="HEARING","",EDATE(J26,Assumptions!$B$14)))</f>
        <v>46727</v>
      </c>
      <c r="X26" s="15">
        <f>IF(C26&lt;&gt;"OK","",EDATE(M26,Assumptions!$B$16))</f>
        <v>47063</v>
      </c>
    </row>
    <row r="27" spans="1:24" ht="22" customHeight="1">
      <c r="A27" s="11" t="str">
        <f>IF('Case inputs'!A27="","",'Case inputs'!A27)</f>
        <v>I-022</v>
      </c>
      <c r="B27" s="11" t="str">
        <f>IF(A27="","",'Case inputs'!C27)</f>
        <v>INITIAL</v>
      </c>
      <c r="C27" s="11" t="str">
        <f>IF('Case inputs'!I27="","",IF(Assumptions!$B$38&lt;&gt;"OK","ASSUMPTIONS INVALID",'Case inputs'!I27))</f>
        <v>OK</v>
      </c>
      <c r="D27" s="11">
        <f>IF(C27&lt;&gt;"OK","",VLOOKUP('Case inputs'!E27,Benchmarks!$A$6:$C$164,3,FALSE))</f>
        <v>8</v>
      </c>
      <c r="E27" s="11">
        <f>IF(C27&lt;&gt;"OK","",Assumptions!$B$5-'Case inputs'!D27)</f>
        <v>30</v>
      </c>
      <c r="F27" s="15">
        <f>IF(C27&lt;&gt;"OK","",IF(B27="INITIAL",'Case inputs'!D27+Assumptions!$B$10,IF(B27="RECON",'Case inputs'!D27+Assumptions!$B$11,EDATE('Case inputs'!D27,INT(D27))+ROUND(MOD(D27,1)*30.44,0))))</f>
        <v>46454</v>
      </c>
      <c r="G27" s="11" t="str">
        <f>IF(C27&lt;&gt;"OK","",IF(AND(B27="HEARING",'Case inputs'!F27&lt;&gt;"",'Case inputs'!F27&gt;=Assumptions!$B$5),"SCHEDULED",IF('Case inputs'!G27&lt;&gt;"","REVIEWED OVERRIDE",IF(F27&lt;Assumptions!$B$5,"OVERDUE: FUTURE WINDOW","BENCHMARK SCENARIO"))))</f>
        <v>BENCHMARK SCENARIO</v>
      </c>
      <c r="H27" s="15">
        <f>IF(C27&lt;&gt;"OK","",IF(G27="SCHEDULED",'Case inputs'!F27,IF('Case inputs'!G27&lt;&gt;"",'Case inputs'!G27,IF(F27&lt;Assumptions!$B$5,EDATE(Assumptions!$B$5,Assumptions!$B$17),F27))))</f>
        <v>46454</v>
      </c>
      <c r="I27" s="16">
        <f t="shared" si="0"/>
        <v>46454</v>
      </c>
      <c r="J27" s="15">
        <f>IF(C27&lt;&gt;"OK","",IF(B27="INITIAL",EDATE(I27,Assumptions!$B$12)+Assumptions!$B$11,IF(B27="RECON",H27,"")))</f>
        <v>46697</v>
      </c>
      <c r="K27" s="15">
        <f>IF(C27&lt;&gt;"OK","",IF(B27="HEARING",'Case inputs'!D27,EDATE(J27,Assumptions!$B$13)))</f>
        <v>46727</v>
      </c>
      <c r="L27" s="15">
        <f>IF(C27&lt;&gt;"OK","",IF(G27="SCHEDULED",H27,EDATE(IF(B27="HEARING",H27,EDATE(K27,INT(D27))+ROUND(MOD(D27,1)*30.44,0)),Assumptions!$B$18)))</f>
        <v>46971</v>
      </c>
      <c r="M27" s="15">
        <f>IF(C27&lt;&gt;"OK","",EDATE(L27,Assumptions!$B$15))</f>
        <v>47002</v>
      </c>
      <c r="N27" s="17">
        <f>IF(C27&lt;&gt;"OK","",IF(B27="INITIAL",Assumptions!$B$21,0))</f>
        <v>0.15</v>
      </c>
      <c r="O27" s="17">
        <f>IF(C27&lt;&gt;"OK","",IF(B27="INITIAL",(1-Assumptions!$B$21)*Assumptions!$B$24*Assumptions!$B$22,IF(B27="RECON",Assumptions!$B$22,0)))</f>
        <v>0.15300000000000002</v>
      </c>
      <c r="P27" s="17">
        <f>IF(C27&lt;&gt;"OK","",IF(B27="INITIAL",(1-Assumptions!$B$21)*Assumptions!$B$24*(1-Assumptions!$B$22)*Assumptions!$B$25,IF(B27="RECON",(1-Assumptions!$B$22)*Assumptions!$B$25,1)))</f>
        <v>0.55080000000000007</v>
      </c>
      <c r="Q27" s="17">
        <f>IF(C27&lt;&gt;"OK","",IF(B27="INITIAL",(1-Assumptions!$B$21)*(1-Assumptions!$B$24),0))</f>
        <v>8.4999999999999978E-2</v>
      </c>
      <c r="R27" s="17">
        <f>IF(C27&lt;&gt;"OK","",IF(B27="INITIAL",(1-Assumptions!$B$21)*Assumptions!$B$24*(1-Assumptions!$B$22)*(1-Assumptions!$B$25),IF(B27="RECON",(1-Assumptions!$B$22)*(1-Assumptions!$B$25),0)))</f>
        <v>6.1199999999999997E-2</v>
      </c>
      <c r="S27" s="17">
        <f>IF(C27&lt;&gt;"OK","",P27*Assumptions!$B$23)</f>
        <v>0.30294000000000004</v>
      </c>
      <c r="T27" s="17">
        <f>IF(C27&lt;&gt;"OK","",P27*(1-Assumptions!$B$23))</f>
        <v>0.24786</v>
      </c>
      <c r="U27" s="18">
        <f t="shared" si="1"/>
        <v>1</v>
      </c>
      <c r="V27" s="15">
        <f>IF(C27&lt;&gt;"OK","",IF(B27="INITIAL",EDATE(I27,Assumptions!$B$14),""))</f>
        <v>46485</v>
      </c>
      <c r="W27" s="15">
        <f>IF(C27&lt;&gt;"OK","",IF(B27="HEARING","",EDATE(J27,Assumptions!$B$14)))</f>
        <v>46727</v>
      </c>
      <c r="X27" s="15">
        <f>IF(C27&lt;&gt;"OK","",EDATE(M27,Assumptions!$B$16))</f>
        <v>47063</v>
      </c>
    </row>
    <row r="28" spans="1:24" ht="22" customHeight="1">
      <c r="A28" s="11" t="str">
        <f>IF('Case inputs'!A28="","",'Case inputs'!A28)</f>
        <v>I-023</v>
      </c>
      <c r="B28" s="11" t="str">
        <f>IF(A28="","",'Case inputs'!C28)</f>
        <v>INITIAL</v>
      </c>
      <c r="C28" s="11" t="str">
        <f>IF('Case inputs'!I28="","",IF(Assumptions!$B$38&lt;&gt;"OK","ASSUMPTIONS INVALID",'Case inputs'!I28))</f>
        <v>OK</v>
      </c>
      <c r="D28" s="11">
        <f>IF(C28&lt;&gt;"OK","",VLOOKUP('Case inputs'!E28,Benchmarks!$A$6:$C$164,3,FALSE))</f>
        <v>8</v>
      </c>
      <c r="E28" s="11">
        <f>IF(C28&lt;&gt;"OK","",Assumptions!$B$5-'Case inputs'!D28)</f>
        <v>30</v>
      </c>
      <c r="F28" s="15">
        <f>IF(C28&lt;&gt;"OK","",IF(B28="INITIAL",'Case inputs'!D28+Assumptions!$B$10,IF(B28="RECON",'Case inputs'!D28+Assumptions!$B$11,EDATE('Case inputs'!D28,INT(D28))+ROUND(MOD(D28,1)*30.44,0))))</f>
        <v>46454</v>
      </c>
      <c r="G28" s="11" t="str">
        <f>IF(C28&lt;&gt;"OK","",IF(AND(B28="HEARING",'Case inputs'!F28&lt;&gt;"",'Case inputs'!F28&gt;=Assumptions!$B$5),"SCHEDULED",IF('Case inputs'!G28&lt;&gt;"","REVIEWED OVERRIDE",IF(F28&lt;Assumptions!$B$5,"OVERDUE: FUTURE WINDOW","BENCHMARK SCENARIO"))))</f>
        <v>BENCHMARK SCENARIO</v>
      </c>
      <c r="H28" s="15">
        <f>IF(C28&lt;&gt;"OK","",IF(G28="SCHEDULED",'Case inputs'!F28,IF('Case inputs'!G28&lt;&gt;"",'Case inputs'!G28,IF(F28&lt;Assumptions!$B$5,EDATE(Assumptions!$B$5,Assumptions!$B$17),F28))))</f>
        <v>46454</v>
      </c>
      <c r="I28" s="16">
        <f t="shared" si="0"/>
        <v>46454</v>
      </c>
      <c r="J28" s="15">
        <f>IF(C28&lt;&gt;"OK","",IF(B28="INITIAL",EDATE(I28,Assumptions!$B$12)+Assumptions!$B$11,IF(B28="RECON",H28,"")))</f>
        <v>46697</v>
      </c>
      <c r="K28" s="15">
        <f>IF(C28&lt;&gt;"OK","",IF(B28="HEARING",'Case inputs'!D28,EDATE(J28,Assumptions!$B$13)))</f>
        <v>46727</v>
      </c>
      <c r="L28" s="15">
        <f>IF(C28&lt;&gt;"OK","",IF(G28="SCHEDULED",H28,EDATE(IF(B28="HEARING",H28,EDATE(K28,INT(D28))+ROUND(MOD(D28,1)*30.44,0)),Assumptions!$B$18)))</f>
        <v>46971</v>
      </c>
      <c r="M28" s="15">
        <f>IF(C28&lt;&gt;"OK","",EDATE(L28,Assumptions!$B$15))</f>
        <v>47002</v>
      </c>
      <c r="N28" s="17">
        <f>IF(C28&lt;&gt;"OK","",IF(B28="INITIAL",Assumptions!$B$21,0))</f>
        <v>0.15</v>
      </c>
      <c r="O28" s="17">
        <f>IF(C28&lt;&gt;"OK","",IF(B28="INITIAL",(1-Assumptions!$B$21)*Assumptions!$B$24*Assumptions!$B$22,IF(B28="RECON",Assumptions!$B$22,0)))</f>
        <v>0.15300000000000002</v>
      </c>
      <c r="P28" s="17">
        <f>IF(C28&lt;&gt;"OK","",IF(B28="INITIAL",(1-Assumptions!$B$21)*Assumptions!$B$24*(1-Assumptions!$B$22)*Assumptions!$B$25,IF(B28="RECON",(1-Assumptions!$B$22)*Assumptions!$B$25,1)))</f>
        <v>0.55080000000000007</v>
      </c>
      <c r="Q28" s="17">
        <f>IF(C28&lt;&gt;"OK","",IF(B28="INITIAL",(1-Assumptions!$B$21)*(1-Assumptions!$B$24),0))</f>
        <v>8.4999999999999978E-2</v>
      </c>
      <c r="R28" s="17">
        <f>IF(C28&lt;&gt;"OK","",IF(B28="INITIAL",(1-Assumptions!$B$21)*Assumptions!$B$24*(1-Assumptions!$B$22)*(1-Assumptions!$B$25),IF(B28="RECON",(1-Assumptions!$B$22)*(1-Assumptions!$B$25),0)))</f>
        <v>6.1199999999999997E-2</v>
      </c>
      <c r="S28" s="17">
        <f>IF(C28&lt;&gt;"OK","",P28*Assumptions!$B$23)</f>
        <v>0.30294000000000004</v>
      </c>
      <c r="T28" s="17">
        <f>IF(C28&lt;&gt;"OK","",P28*(1-Assumptions!$B$23))</f>
        <v>0.24786</v>
      </c>
      <c r="U28" s="18">
        <f t="shared" si="1"/>
        <v>1</v>
      </c>
      <c r="V28" s="15">
        <f>IF(C28&lt;&gt;"OK","",IF(B28="INITIAL",EDATE(I28,Assumptions!$B$14),""))</f>
        <v>46485</v>
      </c>
      <c r="W28" s="15">
        <f>IF(C28&lt;&gt;"OK","",IF(B28="HEARING","",EDATE(J28,Assumptions!$B$14)))</f>
        <v>46727</v>
      </c>
      <c r="X28" s="15">
        <f>IF(C28&lt;&gt;"OK","",EDATE(M28,Assumptions!$B$16))</f>
        <v>47063</v>
      </c>
    </row>
    <row r="29" spans="1:24" ht="22" customHeight="1">
      <c r="A29" s="11" t="str">
        <f>IF('Case inputs'!A29="","",'Case inputs'!A29)</f>
        <v>I-024</v>
      </c>
      <c r="B29" s="11" t="str">
        <f>IF(A29="","",'Case inputs'!C29)</f>
        <v>INITIAL</v>
      </c>
      <c r="C29" s="11" t="str">
        <f>IF('Case inputs'!I29="","",IF(Assumptions!$B$38&lt;&gt;"OK","ASSUMPTIONS INVALID",'Case inputs'!I29))</f>
        <v>OK</v>
      </c>
      <c r="D29" s="11">
        <f>IF(C29&lt;&gt;"OK","",VLOOKUP('Case inputs'!E29,Benchmarks!$A$6:$C$164,3,FALSE))</f>
        <v>8</v>
      </c>
      <c r="E29" s="11">
        <f>IF(C29&lt;&gt;"OK","",Assumptions!$B$5-'Case inputs'!D29)</f>
        <v>30</v>
      </c>
      <c r="F29" s="15">
        <f>IF(C29&lt;&gt;"OK","",IF(B29="INITIAL",'Case inputs'!D29+Assumptions!$B$10,IF(B29="RECON",'Case inputs'!D29+Assumptions!$B$11,EDATE('Case inputs'!D29,INT(D29))+ROUND(MOD(D29,1)*30.44,0))))</f>
        <v>46454</v>
      </c>
      <c r="G29" s="11" t="str">
        <f>IF(C29&lt;&gt;"OK","",IF(AND(B29="HEARING",'Case inputs'!F29&lt;&gt;"",'Case inputs'!F29&gt;=Assumptions!$B$5),"SCHEDULED",IF('Case inputs'!G29&lt;&gt;"","REVIEWED OVERRIDE",IF(F29&lt;Assumptions!$B$5,"OVERDUE: FUTURE WINDOW","BENCHMARK SCENARIO"))))</f>
        <v>BENCHMARK SCENARIO</v>
      </c>
      <c r="H29" s="15">
        <f>IF(C29&lt;&gt;"OK","",IF(G29="SCHEDULED",'Case inputs'!F29,IF('Case inputs'!G29&lt;&gt;"",'Case inputs'!G29,IF(F29&lt;Assumptions!$B$5,EDATE(Assumptions!$B$5,Assumptions!$B$17),F29))))</f>
        <v>46454</v>
      </c>
      <c r="I29" s="16">
        <f t="shared" si="0"/>
        <v>46454</v>
      </c>
      <c r="J29" s="15">
        <f>IF(C29&lt;&gt;"OK","",IF(B29="INITIAL",EDATE(I29,Assumptions!$B$12)+Assumptions!$B$11,IF(B29="RECON",H29,"")))</f>
        <v>46697</v>
      </c>
      <c r="K29" s="15">
        <f>IF(C29&lt;&gt;"OK","",IF(B29="HEARING",'Case inputs'!D29,EDATE(J29,Assumptions!$B$13)))</f>
        <v>46727</v>
      </c>
      <c r="L29" s="15">
        <f>IF(C29&lt;&gt;"OK","",IF(G29="SCHEDULED",H29,EDATE(IF(B29="HEARING",H29,EDATE(K29,INT(D29))+ROUND(MOD(D29,1)*30.44,0)),Assumptions!$B$18)))</f>
        <v>46971</v>
      </c>
      <c r="M29" s="15">
        <f>IF(C29&lt;&gt;"OK","",EDATE(L29,Assumptions!$B$15))</f>
        <v>47002</v>
      </c>
      <c r="N29" s="17">
        <f>IF(C29&lt;&gt;"OK","",IF(B29="INITIAL",Assumptions!$B$21,0))</f>
        <v>0.15</v>
      </c>
      <c r="O29" s="17">
        <f>IF(C29&lt;&gt;"OK","",IF(B29="INITIAL",(1-Assumptions!$B$21)*Assumptions!$B$24*Assumptions!$B$22,IF(B29="RECON",Assumptions!$B$22,0)))</f>
        <v>0.15300000000000002</v>
      </c>
      <c r="P29" s="17">
        <f>IF(C29&lt;&gt;"OK","",IF(B29="INITIAL",(1-Assumptions!$B$21)*Assumptions!$B$24*(1-Assumptions!$B$22)*Assumptions!$B$25,IF(B29="RECON",(1-Assumptions!$B$22)*Assumptions!$B$25,1)))</f>
        <v>0.55080000000000007</v>
      </c>
      <c r="Q29" s="17">
        <f>IF(C29&lt;&gt;"OK","",IF(B29="INITIAL",(1-Assumptions!$B$21)*(1-Assumptions!$B$24),0))</f>
        <v>8.4999999999999978E-2</v>
      </c>
      <c r="R29" s="17">
        <f>IF(C29&lt;&gt;"OK","",IF(B29="INITIAL",(1-Assumptions!$B$21)*Assumptions!$B$24*(1-Assumptions!$B$22)*(1-Assumptions!$B$25),IF(B29="RECON",(1-Assumptions!$B$22)*(1-Assumptions!$B$25),0)))</f>
        <v>6.1199999999999997E-2</v>
      </c>
      <c r="S29" s="17">
        <f>IF(C29&lt;&gt;"OK","",P29*Assumptions!$B$23)</f>
        <v>0.30294000000000004</v>
      </c>
      <c r="T29" s="17">
        <f>IF(C29&lt;&gt;"OK","",P29*(1-Assumptions!$B$23))</f>
        <v>0.24786</v>
      </c>
      <c r="U29" s="18">
        <f t="shared" si="1"/>
        <v>1</v>
      </c>
      <c r="V29" s="15">
        <f>IF(C29&lt;&gt;"OK","",IF(B29="INITIAL",EDATE(I29,Assumptions!$B$14),""))</f>
        <v>46485</v>
      </c>
      <c r="W29" s="15">
        <f>IF(C29&lt;&gt;"OK","",IF(B29="HEARING","",EDATE(J29,Assumptions!$B$14)))</f>
        <v>46727</v>
      </c>
      <c r="X29" s="15">
        <f>IF(C29&lt;&gt;"OK","",EDATE(M29,Assumptions!$B$16))</f>
        <v>47063</v>
      </c>
    </row>
    <row r="30" spans="1:24" ht="22" customHeight="1">
      <c r="A30" s="11" t="str">
        <f>IF('Case inputs'!A30="","",'Case inputs'!A30)</f>
        <v>I-025</v>
      </c>
      <c r="B30" s="11" t="str">
        <f>IF(A30="","",'Case inputs'!C30)</f>
        <v>INITIAL</v>
      </c>
      <c r="C30" s="11" t="str">
        <f>IF('Case inputs'!I30="","",IF(Assumptions!$B$38&lt;&gt;"OK","ASSUMPTIONS INVALID",'Case inputs'!I30))</f>
        <v>OK</v>
      </c>
      <c r="D30" s="11">
        <f>IF(C30&lt;&gt;"OK","",VLOOKUP('Case inputs'!E30,Benchmarks!$A$6:$C$164,3,FALSE))</f>
        <v>8</v>
      </c>
      <c r="E30" s="11">
        <f>IF(C30&lt;&gt;"OK","",Assumptions!$B$5-'Case inputs'!D30)</f>
        <v>30</v>
      </c>
      <c r="F30" s="15">
        <f>IF(C30&lt;&gt;"OK","",IF(B30="INITIAL",'Case inputs'!D30+Assumptions!$B$10,IF(B30="RECON",'Case inputs'!D30+Assumptions!$B$11,EDATE('Case inputs'!D30,INT(D30))+ROUND(MOD(D30,1)*30.44,0))))</f>
        <v>46454</v>
      </c>
      <c r="G30" s="11" t="str">
        <f>IF(C30&lt;&gt;"OK","",IF(AND(B30="HEARING",'Case inputs'!F30&lt;&gt;"",'Case inputs'!F30&gt;=Assumptions!$B$5),"SCHEDULED",IF('Case inputs'!G30&lt;&gt;"","REVIEWED OVERRIDE",IF(F30&lt;Assumptions!$B$5,"OVERDUE: FUTURE WINDOW","BENCHMARK SCENARIO"))))</f>
        <v>BENCHMARK SCENARIO</v>
      </c>
      <c r="H30" s="15">
        <f>IF(C30&lt;&gt;"OK","",IF(G30="SCHEDULED",'Case inputs'!F30,IF('Case inputs'!G30&lt;&gt;"",'Case inputs'!G30,IF(F30&lt;Assumptions!$B$5,EDATE(Assumptions!$B$5,Assumptions!$B$17),F30))))</f>
        <v>46454</v>
      </c>
      <c r="I30" s="16">
        <f t="shared" si="0"/>
        <v>46454</v>
      </c>
      <c r="J30" s="15">
        <f>IF(C30&lt;&gt;"OK","",IF(B30="INITIAL",EDATE(I30,Assumptions!$B$12)+Assumptions!$B$11,IF(B30="RECON",H30,"")))</f>
        <v>46697</v>
      </c>
      <c r="K30" s="15">
        <f>IF(C30&lt;&gt;"OK","",IF(B30="HEARING",'Case inputs'!D30,EDATE(J30,Assumptions!$B$13)))</f>
        <v>46727</v>
      </c>
      <c r="L30" s="15">
        <f>IF(C30&lt;&gt;"OK","",IF(G30="SCHEDULED",H30,EDATE(IF(B30="HEARING",H30,EDATE(K30,INT(D30))+ROUND(MOD(D30,1)*30.44,0)),Assumptions!$B$18)))</f>
        <v>46971</v>
      </c>
      <c r="M30" s="15">
        <f>IF(C30&lt;&gt;"OK","",EDATE(L30,Assumptions!$B$15))</f>
        <v>47002</v>
      </c>
      <c r="N30" s="17">
        <f>IF(C30&lt;&gt;"OK","",IF(B30="INITIAL",Assumptions!$B$21,0))</f>
        <v>0.15</v>
      </c>
      <c r="O30" s="17">
        <f>IF(C30&lt;&gt;"OK","",IF(B30="INITIAL",(1-Assumptions!$B$21)*Assumptions!$B$24*Assumptions!$B$22,IF(B30="RECON",Assumptions!$B$22,0)))</f>
        <v>0.15300000000000002</v>
      </c>
      <c r="P30" s="17">
        <f>IF(C30&lt;&gt;"OK","",IF(B30="INITIAL",(1-Assumptions!$B$21)*Assumptions!$B$24*(1-Assumptions!$B$22)*Assumptions!$B$25,IF(B30="RECON",(1-Assumptions!$B$22)*Assumptions!$B$25,1)))</f>
        <v>0.55080000000000007</v>
      </c>
      <c r="Q30" s="17">
        <f>IF(C30&lt;&gt;"OK","",IF(B30="INITIAL",(1-Assumptions!$B$21)*(1-Assumptions!$B$24),0))</f>
        <v>8.4999999999999978E-2</v>
      </c>
      <c r="R30" s="17">
        <f>IF(C30&lt;&gt;"OK","",IF(B30="INITIAL",(1-Assumptions!$B$21)*Assumptions!$B$24*(1-Assumptions!$B$22)*(1-Assumptions!$B$25),IF(B30="RECON",(1-Assumptions!$B$22)*(1-Assumptions!$B$25),0)))</f>
        <v>6.1199999999999997E-2</v>
      </c>
      <c r="S30" s="17">
        <f>IF(C30&lt;&gt;"OK","",P30*Assumptions!$B$23)</f>
        <v>0.30294000000000004</v>
      </c>
      <c r="T30" s="17">
        <f>IF(C30&lt;&gt;"OK","",P30*(1-Assumptions!$B$23))</f>
        <v>0.24786</v>
      </c>
      <c r="U30" s="18">
        <f t="shared" si="1"/>
        <v>1</v>
      </c>
      <c r="V30" s="15">
        <f>IF(C30&lt;&gt;"OK","",IF(B30="INITIAL",EDATE(I30,Assumptions!$B$14),""))</f>
        <v>46485</v>
      </c>
      <c r="W30" s="15">
        <f>IF(C30&lt;&gt;"OK","",IF(B30="HEARING","",EDATE(J30,Assumptions!$B$14)))</f>
        <v>46727</v>
      </c>
      <c r="X30" s="15">
        <f>IF(C30&lt;&gt;"OK","",EDATE(M30,Assumptions!$B$16))</f>
        <v>47063</v>
      </c>
    </row>
    <row r="31" spans="1:24" ht="22" customHeight="1">
      <c r="A31" s="11" t="str">
        <f>IF('Case inputs'!A31="","",'Case inputs'!A31)</f>
        <v>R-001</v>
      </c>
      <c r="B31" s="11" t="str">
        <f>IF(A31="","",'Case inputs'!C31)</f>
        <v>RECON</v>
      </c>
      <c r="C31" s="11" t="str">
        <f>IF('Case inputs'!I31="","",IF(Assumptions!$B$38&lt;&gt;"OK","ASSUMPTIONS INVALID",'Case inputs'!I31))</f>
        <v>OK</v>
      </c>
      <c r="D31" s="11">
        <f>IF(C31&lt;&gt;"OK","",VLOOKUP('Case inputs'!E31,Benchmarks!$A$6:$C$164,3,FALSE))</f>
        <v>8</v>
      </c>
      <c r="E31" s="11">
        <f>IF(C31&lt;&gt;"OK","",Assumptions!$B$5-'Case inputs'!D31)</f>
        <v>153</v>
      </c>
      <c r="F31" s="15">
        <f>IF(C31&lt;&gt;"OK","",IF(B31="INITIAL",'Case inputs'!D31+Assumptions!$B$10,IF(B31="RECON",'Case inputs'!D31+Assumptions!$B$11,EDATE('Case inputs'!D31,INT(D31))+ROUND(MOD(D31,1)*30.44,0))))</f>
        <v>46355</v>
      </c>
      <c r="G31" s="11" t="str">
        <f>IF(C31&lt;&gt;"OK","",IF(AND(B31="HEARING",'Case inputs'!F31&lt;&gt;"",'Case inputs'!F31&gt;=Assumptions!$B$5),"SCHEDULED",IF('Case inputs'!G31&lt;&gt;"","REVIEWED OVERRIDE",IF(F31&lt;Assumptions!$B$5,"OVERDUE: FUTURE WINDOW","BENCHMARK SCENARIO"))))</f>
        <v>BENCHMARK SCENARIO</v>
      </c>
      <c r="H31" s="15">
        <f>IF(C31&lt;&gt;"OK","",IF(G31="SCHEDULED",'Case inputs'!F31,IF('Case inputs'!G31&lt;&gt;"",'Case inputs'!G31,IF(F31&lt;Assumptions!$B$5,EDATE(Assumptions!$B$5,Assumptions!$B$17),F31))))</f>
        <v>46355</v>
      </c>
      <c r="I31" s="16" t="str">
        <f t="shared" si="0"/>
        <v/>
      </c>
      <c r="J31" s="15">
        <f>IF(C31&lt;&gt;"OK","",IF(B31="INITIAL",EDATE(I31,Assumptions!$B$12)+Assumptions!$B$11,IF(B31="RECON",H31,"")))</f>
        <v>46355</v>
      </c>
      <c r="K31" s="15">
        <f>IF(C31&lt;&gt;"OK","",IF(B31="HEARING",'Case inputs'!D31,EDATE(J31,Assumptions!$B$13)))</f>
        <v>46385</v>
      </c>
      <c r="L31" s="15">
        <f>IF(C31&lt;&gt;"OK","",IF(G31="SCHEDULED",H31,EDATE(IF(B31="HEARING",H31,EDATE(K31,INT(D31))+ROUND(MOD(D31,1)*30.44,0)),Assumptions!$B$18)))</f>
        <v>46628</v>
      </c>
      <c r="M31" s="15">
        <f>IF(C31&lt;&gt;"OK","",EDATE(L31,Assumptions!$B$15))</f>
        <v>46659</v>
      </c>
      <c r="N31" s="17">
        <f>IF(C31&lt;&gt;"OK","",IF(B31="INITIAL",Assumptions!$B$21,0))</f>
        <v>0</v>
      </c>
      <c r="O31" s="17">
        <f>IF(C31&lt;&gt;"OK","",IF(B31="INITIAL",(1-Assumptions!$B$21)*Assumptions!$B$24*Assumptions!$B$22,IF(B31="RECON",Assumptions!$B$22,0)))</f>
        <v>0.2</v>
      </c>
      <c r="P31" s="17">
        <f>IF(C31&lt;&gt;"OK","",IF(B31="INITIAL",(1-Assumptions!$B$21)*Assumptions!$B$24*(1-Assumptions!$B$22)*Assumptions!$B$25,IF(B31="RECON",(1-Assumptions!$B$22)*Assumptions!$B$25,1)))</f>
        <v>0.72000000000000008</v>
      </c>
      <c r="Q31" s="17">
        <f>IF(C31&lt;&gt;"OK","",IF(B31="INITIAL",(1-Assumptions!$B$21)*(1-Assumptions!$B$24),0))</f>
        <v>0</v>
      </c>
      <c r="R31" s="17">
        <f>IF(C31&lt;&gt;"OK","",IF(B31="INITIAL",(1-Assumptions!$B$21)*Assumptions!$B$24*(1-Assumptions!$B$22)*(1-Assumptions!$B$25),IF(B31="RECON",(1-Assumptions!$B$22)*(1-Assumptions!$B$25),0)))</f>
        <v>7.9999999999999988E-2</v>
      </c>
      <c r="S31" s="17">
        <f>IF(C31&lt;&gt;"OK","",P31*Assumptions!$B$23)</f>
        <v>0.39600000000000007</v>
      </c>
      <c r="T31" s="17">
        <f>IF(C31&lt;&gt;"OK","",P31*(1-Assumptions!$B$23))</f>
        <v>0.32400000000000001</v>
      </c>
      <c r="U31" s="18">
        <f t="shared" si="1"/>
        <v>1.0000000000000002</v>
      </c>
      <c r="V31" s="15" t="str">
        <f>IF(C31&lt;&gt;"OK","",IF(B31="INITIAL",EDATE(I31,Assumptions!$B$14),""))</f>
        <v/>
      </c>
      <c r="W31" s="15">
        <f>IF(C31&lt;&gt;"OK","",IF(B31="HEARING","",EDATE(J31,Assumptions!$B$14)))</f>
        <v>46385</v>
      </c>
      <c r="X31" s="15">
        <f>IF(C31&lt;&gt;"OK","",EDATE(M31,Assumptions!$B$16))</f>
        <v>46720</v>
      </c>
    </row>
    <row r="32" spans="1:24" ht="22" customHeight="1">
      <c r="A32" s="11" t="str">
        <f>IF('Case inputs'!A32="","",'Case inputs'!A32)</f>
        <v>R-002</v>
      </c>
      <c r="B32" s="11" t="str">
        <f>IF(A32="","",'Case inputs'!C32)</f>
        <v>RECON</v>
      </c>
      <c r="C32" s="11" t="str">
        <f>IF('Case inputs'!I32="","",IF(Assumptions!$B$38&lt;&gt;"OK","ASSUMPTIONS INVALID",'Case inputs'!I32))</f>
        <v>OK</v>
      </c>
      <c r="D32" s="11">
        <f>IF(C32&lt;&gt;"OK","",VLOOKUP('Case inputs'!E32,Benchmarks!$A$6:$C$164,3,FALSE))</f>
        <v>8</v>
      </c>
      <c r="E32" s="11">
        <f>IF(C32&lt;&gt;"OK","",Assumptions!$B$5-'Case inputs'!D32)</f>
        <v>153</v>
      </c>
      <c r="F32" s="15">
        <f>IF(C32&lt;&gt;"OK","",IF(B32="INITIAL",'Case inputs'!D32+Assumptions!$B$10,IF(B32="RECON",'Case inputs'!D32+Assumptions!$B$11,EDATE('Case inputs'!D32,INT(D32))+ROUND(MOD(D32,1)*30.44,0))))</f>
        <v>46355</v>
      </c>
      <c r="G32" s="11" t="str">
        <f>IF(C32&lt;&gt;"OK","",IF(AND(B32="HEARING",'Case inputs'!F32&lt;&gt;"",'Case inputs'!F32&gt;=Assumptions!$B$5),"SCHEDULED",IF('Case inputs'!G32&lt;&gt;"","REVIEWED OVERRIDE",IF(F32&lt;Assumptions!$B$5,"OVERDUE: FUTURE WINDOW","BENCHMARK SCENARIO"))))</f>
        <v>BENCHMARK SCENARIO</v>
      </c>
      <c r="H32" s="15">
        <f>IF(C32&lt;&gt;"OK","",IF(G32="SCHEDULED",'Case inputs'!F32,IF('Case inputs'!G32&lt;&gt;"",'Case inputs'!G32,IF(F32&lt;Assumptions!$B$5,EDATE(Assumptions!$B$5,Assumptions!$B$17),F32))))</f>
        <v>46355</v>
      </c>
      <c r="I32" s="16" t="str">
        <f t="shared" si="0"/>
        <v/>
      </c>
      <c r="J32" s="15">
        <f>IF(C32&lt;&gt;"OK","",IF(B32="INITIAL",EDATE(I32,Assumptions!$B$12)+Assumptions!$B$11,IF(B32="RECON",H32,"")))</f>
        <v>46355</v>
      </c>
      <c r="K32" s="15">
        <f>IF(C32&lt;&gt;"OK","",IF(B32="HEARING",'Case inputs'!D32,EDATE(J32,Assumptions!$B$13)))</f>
        <v>46385</v>
      </c>
      <c r="L32" s="15">
        <f>IF(C32&lt;&gt;"OK","",IF(G32="SCHEDULED",H32,EDATE(IF(B32="HEARING",H32,EDATE(K32,INT(D32))+ROUND(MOD(D32,1)*30.44,0)),Assumptions!$B$18)))</f>
        <v>46628</v>
      </c>
      <c r="M32" s="15">
        <f>IF(C32&lt;&gt;"OK","",EDATE(L32,Assumptions!$B$15))</f>
        <v>46659</v>
      </c>
      <c r="N32" s="17">
        <f>IF(C32&lt;&gt;"OK","",IF(B32="INITIAL",Assumptions!$B$21,0))</f>
        <v>0</v>
      </c>
      <c r="O32" s="17">
        <f>IF(C32&lt;&gt;"OK","",IF(B32="INITIAL",(1-Assumptions!$B$21)*Assumptions!$B$24*Assumptions!$B$22,IF(B32="RECON",Assumptions!$B$22,0)))</f>
        <v>0.2</v>
      </c>
      <c r="P32" s="17">
        <f>IF(C32&lt;&gt;"OK","",IF(B32="INITIAL",(1-Assumptions!$B$21)*Assumptions!$B$24*(1-Assumptions!$B$22)*Assumptions!$B$25,IF(B32="RECON",(1-Assumptions!$B$22)*Assumptions!$B$25,1)))</f>
        <v>0.72000000000000008</v>
      </c>
      <c r="Q32" s="17">
        <f>IF(C32&lt;&gt;"OK","",IF(B32="INITIAL",(1-Assumptions!$B$21)*(1-Assumptions!$B$24),0))</f>
        <v>0</v>
      </c>
      <c r="R32" s="17">
        <f>IF(C32&lt;&gt;"OK","",IF(B32="INITIAL",(1-Assumptions!$B$21)*Assumptions!$B$24*(1-Assumptions!$B$22)*(1-Assumptions!$B$25),IF(B32="RECON",(1-Assumptions!$B$22)*(1-Assumptions!$B$25),0)))</f>
        <v>7.9999999999999988E-2</v>
      </c>
      <c r="S32" s="17">
        <f>IF(C32&lt;&gt;"OK","",P32*Assumptions!$B$23)</f>
        <v>0.39600000000000007</v>
      </c>
      <c r="T32" s="17">
        <f>IF(C32&lt;&gt;"OK","",P32*(1-Assumptions!$B$23))</f>
        <v>0.32400000000000001</v>
      </c>
      <c r="U32" s="18">
        <f t="shared" si="1"/>
        <v>1.0000000000000002</v>
      </c>
      <c r="V32" s="15" t="str">
        <f>IF(C32&lt;&gt;"OK","",IF(B32="INITIAL",EDATE(I32,Assumptions!$B$14),""))</f>
        <v/>
      </c>
      <c r="W32" s="15">
        <f>IF(C32&lt;&gt;"OK","",IF(B32="HEARING","",EDATE(J32,Assumptions!$B$14)))</f>
        <v>46385</v>
      </c>
      <c r="X32" s="15">
        <f>IF(C32&lt;&gt;"OK","",EDATE(M32,Assumptions!$B$16))</f>
        <v>46720</v>
      </c>
    </row>
    <row r="33" spans="1:24" ht="22" customHeight="1">
      <c r="A33" s="11" t="str">
        <f>IF('Case inputs'!A33="","",'Case inputs'!A33)</f>
        <v>R-003</v>
      </c>
      <c r="B33" s="11" t="str">
        <f>IF(A33="","",'Case inputs'!C33)</f>
        <v>RECON</v>
      </c>
      <c r="C33" s="11" t="str">
        <f>IF('Case inputs'!I33="","",IF(Assumptions!$B$38&lt;&gt;"OK","ASSUMPTIONS INVALID",'Case inputs'!I33))</f>
        <v>OK</v>
      </c>
      <c r="D33" s="11">
        <f>IF(C33&lt;&gt;"OK","",VLOOKUP('Case inputs'!E33,Benchmarks!$A$6:$C$164,3,FALSE))</f>
        <v>8</v>
      </c>
      <c r="E33" s="11">
        <f>IF(C33&lt;&gt;"OK","",Assumptions!$B$5-'Case inputs'!D33)</f>
        <v>153</v>
      </c>
      <c r="F33" s="15">
        <f>IF(C33&lt;&gt;"OK","",IF(B33="INITIAL",'Case inputs'!D33+Assumptions!$B$10,IF(B33="RECON",'Case inputs'!D33+Assumptions!$B$11,EDATE('Case inputs'!D33,INT(D33))+ROUND(MOD(D33,1)*30.44,0))))</f>
        <v>46355</v>
      </c>
      <c r="G33" s="11" t="str">
        <f>IF(C33&lt;&gt;"OK","",IF(AND(B33="HEARING",'Case inputs'!F33&lt;&gt;"",'Case inputs'!F33&gt;=Assumptions!$B$5),"SCHEDULED",IF('Case inputs'!G33&lt;&gt;"","REVIEWED OVERRIDE",IF(F33&lt;Assumptions!$B$5,"OVERDUE: FUTURE WINDOW","BENCHMARK SCENARIO"))))</f>
        <v>BENCHMARK SCENARIO</v>
      </c>
      <c r="H33" s="15">
        <f>IF(C33&lt;&gt;"OK","",IF(G33="SCHEDULED",'Case inputs'!F33,IF('Case inputs'!G33&lt;&gt;"",'Case inputs'!G33,IF(F33&lt;Assumptions!$B$5,EDATE(Assumptions!$B$5,Assumptions!$B$17),F33))))</f>
        <v>46355</v>
      </c>
      <c r="I33" s="16" t="str">
        <f t="shared" si="0"/>
        <v/>
      </c>
      <c r="J33" s="15">
        <f>IF(C33&lt;&gt;"OK","",IF(B33="INITIAL",EDATE(I33,Assumptions!$B$12)+Assumptions!$B$11,IF(B33="RECON",H33,"")))</f>
        <v>46355</v>
      </c>
      <c r="K33" s="15">
        <f>IF(C33&lt;&gt;"OK","",IF(B33="HEARING",'Case inputs'!D33,EDATE(J33,Assumptions!$B$13)))</f>
        <v>46385</v>
      </c>
      <c r="L33" s="15">
        <f>IF(C33&lt;&gt;"OK","",IF(G33="SCHEDULED",H33,EDATE(IF(B33="HEARING",H33,EDATE(K33,INT(D33))+ROUND(MOD(D33,1)*30.44,0)),Assumptions!$B$18)))</f>
        <v>46628</v>
      </c>
      <c r="M33" s="15">
        <f>IF(C33&lt;&gt;"OK","",EDATE(L33,Assumptions!$B$15))</f>
        <v>46659</v>
      </c>
      <c r="N33" s="17">
        <f>IF(C33&lt;&gt;"OK","",IF(B33="INITIAL",Assumptions!$B$21,0))</f>
        <v>0</v>
      </c>
      <c r="O33" s="17">
        <f>IF(C33&lt;&gt;"OK","",IF(B33="INITIAL",(1-Assumptions!$B$21)*Assumptions!$B$24*Assumptions!$B$22,IF(B33="RECON",Assumptions!$B$22,0)))</f>
        <v>0.2</v>
      </c>
      <c r="P33" s="17">
        <f>IF(C33&lt;&gt;"OK","",IF(B33="INITIAL",(1-Assumptions!$B$21)*Assumptions!$B$24*(1-Assumptions!$B$22)*Assumptions!$B$25,IF(B33="RECON",(1-Assumptions!$B$22)*Assumptions!$B$25,1)))</f>
        <v>0.72000000000000008</v>
      </c>
      <c r="Q33" s="17">
        <f>IF(C33&lt;&gt;"OK","",IF(B33="INITIAL",(1-Assumptions!$B$21)*(1-Assumptions!$B$24),0))</f>
        <v>0</v>
      </c>
      <c r="R33" s="17">
        <f>IF(C33&lt;&gt;"OK","",IF(B33="INITIAL",(1-Assumptions!$B$21)*Assumptions!$B$24*(1-Assumptions!$B$22)*(1-Assumptions!$B$25),IF(B33="RECON",(1-Assumptions!$B$22)*(1-Assumptions!$B$25),0)))</f>
        <v>7.9999999999999988E-2</v>
      </c>
      <c r="S33" s="17">
        <f>IF(C33&lt;&gt;"OK","",P33*Assumptions!$B$23)</f>
        <v>0.39600000000000007</v>
      </c>
      <c r="T33" s="17">
        <f>IF(C33&lt;&gt;"OK","",P33*(1-Assumptions!$B$23))</f>
        <v>0.32400000000000001</v>
      </c>
      <c r="U33" s="18">
        <f t="shared" si="1"/>
        <v>1.0000000000000002</v>
      </c>
      <c r="V33" s="15" t="str">
        <f>IF(C33&lt;&gt;"OK","",IF(B33="INITIAL",EDATE(I33,Assumptions!$B$14),""))</f>
        <v/>
      </c>
      <c r="W33" s="15">
        <f>IF(C33&lt;&gt;"OK","",IF(B33="HEARING","",EDATE(J33,Assumptions!$B$14)))</f>
        <v>46385</v>
      </c>
      <c r="X33" s="15">
        <f>IF(C33&lt;&gt;"OK","",EDATE(M33,Assumptions!$B$16))</f>
        <v>46720</v>
      </c>
    </row>
    <row r="34" spans="1:24" ht="22" customHeight="1">
      <c r="A34" s="11" t="str">
        <f>IF('Case inputs'!A34="","",'Case inputs'!A34)</f>
        <v>R-004</v>
      </c>
      <c r="B34" s="11" t="str">
        <f>IF(A34="","",'Case inputs'!C34)</f>
        <v>RECON</v>
      </c>
      <c r="C34" s="11" t="str">
        <f>IF('Case inputs'!I34="","",IF(Assumptions!$B$38&lt;&gt;"OK","ASSUMPTIONS INVALID",'Case inputs'!I34))</f>
        <v>OK</v>
      </c>
      <c r="D34" s="11">
        <f>IF(C34&lt;&gt;"OK","",VLOOKUP('Case inputs'!E34,Benchmarks!$A$6:$C$164,3,FALSE))</f>
        <v>8</v>
      </c>
      <c r="E34" s="11">
        <f>IF(C34&lt;&gt;"OK","",Assumptions!$B$5-'Case inputs'!D34)</f>
        <v>153</v>
      </c>
      <c r="F34" s="15">
        <f>IF(C34&lt;&gt;"OK","",IF(B34="INITIAL",'Case inputs'!D34+Assumptions!$B$10,IF(B34="RECON",'Case inputs'!D34+Assumptions!$B$11,EDATE('Case inputs'!D34,INT(D34))+ROUND(MOD(D34,1)*30.44,0))))</f>
        <v>46355</v>
      </c>
      <c r="G34" s="11" t="str">
        <f>IF(C34&lt;&gt;"OK","",IF(AND(B34="HEARING",'Case inputs'!F34&lt;&gt;"",'Case inputs'!F34&gt;=Assumptions!$B$5),"SCHEDULED",IF('Case inputs'!G34&lt;&gt;"","REVIEWED OVERRIDE",IF(F34&lt;Assumptions!$B$5,"OVERDUE: FUTURE WINDOW","BENCHMARK SCENARIO"))))</f>
        <v>BENCHMARK SCENARIO</v>
      </c>
      <c r="H34" s="15">
        <f>IF(C34&lt;&gt;"OK","",IF(G34="SCHEDULED",'Case inputs'!F34,IF('Case inputs'!G34&lt;&gt;"",'Case inputs'!G34,IF(F34&lt;Assumptions!$B$5,EDATE(Assumptions!$B$5,Assumptions!$B$17),F34))))</f>
        <v>46355</v>
      </c>
      <c r="I34" s="16" t="str">
        <f t="shared" si="0"/>
        <v/>
      </c>
      <c r="J34" s="15">
        <f>IF(C34&lt;&gt;"OK","",IF(B34="INITIAL",EDATE(I34,Assumptions!$B$12)+Assumptions!$B$11,IF(B34="RECON",H34,"")))</f>
        <v>46355</v>
      </c>
      <c r="K34" s="15">
        <f>IF(C34&lt;&gt;"OK","",IF(B34="HEARING",'Case inputs'!D34,EDATE(J34,Assumptions!$B$13)))</f>
        <v>46385</v>
      </c>
      <c r="L34" s="15">
        <f>IF(C34&lt;&gt;"OK","",IF(G34="SCHEDULED",H34,EDATE(IF(B34="HEARING",H34,EDATE(K34,INT(D34))+ROUND(MOD(D34,1)*30.44,0)),Assumptions!$B$18)))</f>
        <v>46628</v>
      </c>
      <c r="M34" s="15">
        <f>IF(C34&lt;&gt;"OK","",EDATE(L34,Assumptions!$B$15))</f>
        <v>46659</v>
      </c>
      <c r="N34" s="17">
        <f>IF(C34&lt;&gt;"OK","",IF(B34="INITIAL",Assumptions!$B$21,0))</f>
        <v>0</v>
      </c>
      <c r="O34" s="17">
        <f>IF(C34&lt;&gt;"OK","",IF(B34="INITIAL",(1-Assumptions!$B$21)*Assumptions!$B$24*Assumptions!$B$22,IF(B34="RECON",Assumptions!$B$22,0)))</f>
        <v>0.2</v>
      </c>
      <c r="P34" s="17">
        <f>IF(C34&lt;&gt;"OK","",IF(B34="INITIAL",(1-Assumptions!$B$21)*Assumptions!$B$24*(1-Assumptions!$B$22)*Assumptions!$B$25,IF(B34="RECON",(1-Assumptions!$B$22)*Assumptions!$B$25,1)))</f>
        <v>0.72000000000000008</v>
      </c>
      <c r="Q34" s="17">
        <f>IF(C34&lt;&gt;"OK","",IF(B34="INITIAL",(1-Assumptions!$B$21)*(1-Assumptions!$B$24),0))</f>
        <v>0</v>
      </c>
      <c r="R34" s="17">
        <f>IF(C34&lt;&gt;"OK","",IF(B34="INITIAL",(1-Assumptions!$B$21)*Assumptions!$B$24*(1-Assumptions!$B$22)*(1-Assumptions!$B$25),IF(B34="RECON",(1-Assumptions!$B$22)*(1-Assumptions!$B$25),0)))</f>
        <v>7.9999999999999988E-2</v>
      </c>
      <c r="S34" s="17">
        <f>IF(C34&lt;&gt;"OK","",P34*Assumptions!$B$23)</f>
        <v>0.39600000000000007</v>
      </c>
      <c r="T34" s="17">
        <f>IF(C34&lt;&gt;"OK","",P34*(1-Assumptions!$B$23))</f>
        <v>0.32400000000000001</v>
      </c>
      <c r="U34" s="18">
        <f t="shared" si="1"/>
        <v>1.0000000000000002</v>
      </c>
      <c r="V34" s="15" t="str">
        <f>IF(C34&lt;&gt;"OK","",IF(B34="INITIAL",EDATE(I34,Assumptions!$B$14),""))</f>
        <v/>
      </c>
      <c r="W34" s="15">
        <f>IF(C34&lt;&gt;"OK","",IF(B34="HEARING","",EDATE(J34,Assumptions!$B$14)))</f>
        <v>46385</v>
      </c>
      <c r="X34" s="15">
        <f>IF(C34&lt;&gt;"OK","",EDATE(M34,Assumptions!$B$16))</f>
        <v>46720</v>
      </c>
    </row>
    <row r="35" spans="1:24" ht="22" customHeight="1">
      <c r="A35" s="11" t="str">
        <f>IF('Case inputs'!A35="","",'Case inputs'!A35)</f>
        <v>R-005</v>
      </c>
      <c r="B35" s="11" t="str">
        <f>IF(A35="","",'Case inputs'!C35)</f>
        <v>RECON</v>
      </c>
      <c r="C35" s="11" t="str">
        <f>IF('Case inputs'!I35="","",IF(Assumptions!$B$38&lt;&gt;"OK","ASSUMPTIONS INVALID",'Case inputs'!I35))</f>
        <v>OK</v>
      </c>
      <c r="D35" s="11">
        <f>IF(C35&lt;&gt;"OK","",VLOOKUP('Case inputs'!E35,Benchmarks!$A$6:$C$164,3,FALSE))</f>
        <v>8</v>
      </c>
      <c r="E35" s="11">
        <f>IF(C35&lt;&gt;"OK","",Assumptions!$B$5-'Case inputs'!D35)</f>
        <v>153</v>
      </c>
      <c r="F35" s="15">
        <f>IF(C35&lt;&gt;"OK","",IF(B35="INITIAL",'Case inputs'!D35+Assumptions!$B$10,IF(B35="RECON",'Case inputs'!D35+Assumptions!$B$11,EDATE('Case inputs'!D35,INT(D35))+ROUND(MOD(D35,1)*30.44,0))))</f>
        <v>46355</v>
      </c>
      <c r="G35" s="11" t="str">
        <f>IF(C35&lt;&gt;"OK","",IF(AND(B35="HEARING",'Case inputs'!F35&lt;&gt;"",'Case inputs'!F35&gt;=Assumptions!$B$5),"SCHEDULED",IF('Case inputs'!G35&lt;&gt;"","REVIEWED OVERRIDE",IF(F35&lt;Assumptions!$B$5,"OVERDUE: FUTURE WINDOW","BENCHMARK SCENARIO"))))</f>
        <v>BENCHMARK SCENARIO</v>
      </c>
      <c r="H35" s="15">
        <f>IF(C35&lt;&gt;"OK","",IF(G35="SCHEDULED",'Case inputs'!F35,IF('Case inputs'!G35&lt;&gt;"",'Case inputs'!G35,IF(F35&lt;Assumptions!$B$5,EDATE(Assumptions!$B$5,Assumptions!$B$17),F35))))</f>
        <v>46355</v>
      </c>
      <c r="I35" s="16" t="str">
        <f t="shared" si="0"/>
        <v/>
      </c>
      <c r="J35" s="15">
        <f>IF(C35&lt;&gt;"OK","",IF(B35="INITIAL",EDATE(I35,Assumptions!$B$12)+Assumptions!$B$11,IF(B35="RECON",H35,"")))</f>
        <v>46355</v>
      </c>
      <c r="K35" s="15">
        <f>IF(C35&lt;&gt;"OK","",IF(B35="HEARING",'Case inputs'!D35,EDATE(J35,Assumptions!$B$13)))</f>
        <v>46385</v>
      </c>
      <c r="L35" s="15">
        <f>IF(C35&lt;&gt;"OK","",IF(G35="SCHEDULED",H35,EDATE(IF(B35="HEARING",H35,EDATE(K35,INT(D35))+ROUND(MOD(D35,1)*30.44,0)),Assumptions!$B$18)))</f>
        <v>46628</v>
      </c>
      <c r="M35" s="15">
        <f>IF(C35&lt;&gt;"OK","",EDATE(L35,Assumptions!$B$15))</f>
        <v>46659</v>
      </c>
      <c r="N35" s="17">
        <f>IF(C35&lt;&gt;"OK","",IF(B35="INITIAL",Assumptions!$B$21,0))</f>
        <v>0</v>
      </c>
      <c r="O35" s="17">
        <f>IF(C35&lt;&gt;"OK","",IF(B35="INITIAL",(1-Assumptions!$B$21)*Assumptions!$B$24*Assumptions!$B$22,IF(B35="RECON",Assumptions!$B$22,0)))</f>
        <v>0.2</v>
      </c>
      <c r="P35" s="17">
        <f>IF(C35&lt;&gt;"OK","",IF(B35="INITIAL",(1-Assumptions!$B$21)*Assumptions!$B$24*(1-Assumptions!$B$22)*Assumptions!$B$25,IF(B35="RECON",(1-Assumptions!$B$22)*Assumptions!$B$25,1)))</f>
        <v>0.72000000000000008</v>
      </c>
      <c r="Q35" s="17">
        <f>IF(C35&lt;&gt;"OK","",IF(B35="INITIAL",(1-Assumptions!$B$21)*(1-Assumptions!$B$24),0))</f>
        <v>0</v>
      </c>
      <c r="R35" s="17">
        <f>IF(C35&lt;&gt;"OK","",IF(B35="INITIAL",(1-Assumptions!$B$21)*Assumptions!$B$24*(1-Assumptions!$B$22)*(1-Assumptions!$B$25),IF(B35="RECON",(1-Assumptions!$B$22)*(1-Assumptions!$B$25),0)))</f>
        <v>7.9999999999999988E-2</v>
      </c>
      <c r="S35" s="17">
        <f>IF(C35&lt;&gt;"OK","",P35*Assumptions!$B$23)</f>
        <v>0.39600000000000007</v>
      </c>
      <c r="T35" s="17">
        <f>IF(C35&lt;&gt;"OK","",P35*(1-Assumptions!$B$23))</f>
        <v>0.32400000000000001</v>
      </c>
      <c r="U35" s="18">
        <f t="shared" si="1"/>
        <v>1.0000000000000002</v>
      </c>
      <c r="V35" s="15" t="str">
        <f>IF(C35&lt;&gt;"OK","",IF(B35="INITIAL",EDATE(I35,Assumptions!$B$14),""))</f>
        <v/>
      </c>
      <c r="W35" s="15">
        <f>IF(C35&lt;&gt;"OK","",IF(B35="HEARING","",EDATE(J35,Assumptions!$B$14)))</f>
        <v>46385</v>
      </c>
      <c r="X35" s="15">
        <f>IF(C35&lt;&gt;"OK","",EDATE(M35,Assumptions!$B$16))</f>
        <v>46720</v>
      </c>
    </row>
    <row r="36" spans="1:24" ht="22" customHeight="1">
      <c r="A36" s="11" t="str">
        <f>IF('Case inputs'!A36="","",'Case inputs'!A36)</f>
        <v>R-006</v>
      </c>
      <c r="B36" s="11" t="str">
        <f>IF(A36="","",'Case inputs'!C36)</f>
        <v>RECON</v>
      </c>
      <c r="C36" s="11" t="str">
        <f>IF('Case inputs'!I36="","",IF(Assumptions!$B$38&lt;&gt;"OK","ASSUMPTIONS INVALID",'Case inputs'!I36))</f>
        <v>OK</v>
      </c>
      <c r="D36" s="11">
        <f>IF(C36&lt;&gt;"OK","",VLOOKUP('Case inputs'!E36,Benchmarks!$A$6:$C$164,3,FALSE))</f>
        <v>8</v>
      </c>
      <c r="E36" s="11">
        <f>IF(C36&lt;&gt;"OK","",Assumptions!$B$5-'Case inputs'!D36)</f>
        <v>153</v>
      </c>
      <c r="F36" s="15">
        <f>IF(C36&lt;&gt;"OK","",IF(B36="INITIAL",'Case inputs'!D36+Assumptions!$B$10,IF(B36="RECON",'Case inputs'!D36+Assumptions!$B$11,EDATE('Case inputs'!D36,INT(D36))+ROUND(MOD(D36,1)*30.44,0))))</f>
        <v>46355</v>
      </c>
      <c r="G36" s="11" t="str">
        <f>IF(C36&lt;&gt;"OK","",IF(AND(B36="HEARING",'Case inputs'!F36&lt;&gt;"",'Case inputs'!F36&gt;=Assumptions!$B$5),"SCHEDULED",IF('Case inputs'!G36&lt;&gt;"","REVIEWED OVERRIDE",IF(F36&lt;Assumptions!$B$5,"OVERDUE: FUTURE WINDOW","BENCHMARK SCENARIO"))))</f>
        <v>BENCHMARK SCENARIO</v>
      </c>
      <c r="H36" s="15">
        <f>IF(C36&lt;&gt;"OK","",IF(G36="SCHEDULED",'Case inputs'!F36,IF('Case inputs'!G36&lt;&gt;"",'Case inputs'!G36,IF(F36&lt;Assumptions!$B$5,EDATE(Assumptions!$B$5,Assumptions!$B$17),F36))))</f>
        <v>46355</v>
      </c>
      <c r="I36" s="16" t="str">
        <f t="shared" si="0"/>
        <v/>
      </c>
      <c r="J36" s="15">
        <f>IF(C36&lt;&gt;"OK","",IF(B36="INITIAL",EDATE(I36,Assumptions!$B$12)+Assumptions!$B$11,IF(B36="RECON",H36,"")))</f>
        <v>46355</v>
      </c>
      <c r="K36" s="15">
        <f>IF(C36&lt;&gt;"OK","",IF(B36="HEARING",'Case inputs'!D36,EDATE(J36,Assumptions!$B$13)))</f>
        <v>46385</v>
      </c>
      <c r="L36" s="15">
        <f>IF(C36&lt;&gt;"OK","",IF(G36="SCHEDULED",H36,EDATE(IF(B36="HEARING",H36,EDATE(K36,INT(D36))+ROUND(MOD(D36,1)*30.44,0)),Assumptions!$B$18)))</f>
        <v>46628</v>
      </c>
      <c r="M36" s="15">
        <f>IF(C36&lt;&gt;"OK","",EDATE(L36,Assumptions!$B$15))</f>
        <v>46659</v>
      </c>
      <c r="N36" s="17">
        <f>IF(C36&lt;&gt;"OK","",IF(B36="INITIAL",Assumptions!$B$21,0))</f>
        <v>0</v>
      </c>
      <c r="O36" s="17">
        <f>IF(C36&lt;&gt;"OK","",IF(B36="INITIAL",(1-Assumptions!$B$21)*Assumptions!$B$24*Assumptions!$B$22,IF(B36="RECON",Assumptions!$B$22,0)))</f>
        <v>0.2</v>
      </c>
      <c r="P36" s="17">
        <f>IF(C36&lt;&gt;"OK","",IF(B36="INITIAL",(1-Assumptions!$B$21)*Assumptions!$B$24*(1-Assumptions!$B$22)*Assumptions!$B$25,IF(B36="RECON",(1-Assumptions!$B$22)*Assumptions!$B$25,1)))</f>
        <v>0.72000000000000008</v>
      </c>
      <c r="Q36" s="17">
        <f>IF(C36&lt;&gt;"OK","",IF(B36="INITIAL",(1-Assumptions!$B$21)*(1-Assumptions!$B$24),0))</f>
        <v>0</v>
      </c>
      <c r="R36" s="17">
        <f>IF(C36&lt;&gt;"OK","",IF(B36="INITIAL",(1-Assumptions!$B$21)*Assumptions!$B$24*(1-Assumptions!$B$22)*(1-Assumptions!$B$25),IF(B36="RECON",(1-Assumptions!$B$22)*(1-Assumptions!$B$25),0)))</f>
        <v>7.9999999999999988E-2</v>
      </c>
      <c r="S36" s="17">
        <f>IF(C36&lt;&gt;"OK","",P36*Assumptions!$B$23)</f>
        <v>0.39600000000000007</v>
      </c>
      <c r="T36" s="17">
        <f>IF(C36&lt;&gt;"OK","",P36*(1-Assumptions!$B$23))</f>
        <v>0.32400000000000001</v>
      </c>
      <c r="U36" s="18">
        <f t="shared" si="1"/>
        <v>1.0000000000000002</v>
      </c>
      <c r="V36" s="15" t="str">
        <f>IF(C36&lt;&gt;"OK","",IF(B36="INITIAL",EDATE(I36,Assumptions!$B$14),""))</f>
        <v/>
      </c>
      <c r="W36" s="15">
        <f>IF(C36&lt;&gt;"OK","",IF(B36="HEARING","",EDATE(J36,Assumptions!$B$14)))</f>
        <v>46385</v>
      </c>
      <c r="X36" s="15">
        <f>IF(C36&lt;&gt;"OK","",EDATE(M36,Assumptions!$B$16))</f>
        <v>46720</v>
      </c>
    </row>
    <row r="37" spans="1:24" ht="22" customHeight="1">
      <c r="A37" s="11" t="str">
        <f>IF('Case inputs'!A37="","",'Case inputs'!A37)</f>
        <v>R-007</v>
      </c>
      <c r="B37" s="11" t="str">
        <f>IF(A37="","",'Case inputs'!C37)</f>
        <v>RECON</v>
      </c>
      <c r="C37" s="11" t="str">
        <f>IF('Case inputs'!I37="","",IF(Assumptions!$B$38&lt;&gt;"OK","ASSUMPTIONS INVALID",'Case inputs'!I37))</f>
        <v>OK</v>
      </c>
      <c r="D37" s="11">
        <f>IF(C37&lt;&gt;"OK","",VLOOKUP('Case inputs'!E37,Benchmarks!$A$6:$C$164,3,FALSE))</f>
        <v>8</v>
      </c>
      <c r="E37" s="11">
        <f>IF(C37&lt;&gt;"OK","",Assumptions!$B$5-'Case inputs'!D37)</f>
        <v>153</v>
      </c>
      <c r="F37" s="15">
        <f>IF(C37&lt;&gt;"OK","",IF(B37="INITIAL",'Case inputs'!D37+Assumptions!$B$10,IF(B37="RECON",'Case inputs'!D37+Assumptions!$B$11,EDATE('Case inputs'!D37,INT(D37))+ROUND(MOD(D37,1)*30.44,0))))</f>
        <v>46355</v>
      </c>
      <c r="G37" s="11" t="str">
        <f>IF(C37&lt;&gt;"OK","",IF(AND(B37="HEARING",'Case inputs'!F37&lt;&gt;"",'Case inputs'!F37&gt;=Assumptions!$B$5),"SCHEDULED",IF('Case inputs'!G37&lt;&gt;"","REVIEWED OVERRIDE",IF(F37&lt;Assumptions!$B$5,"OVERDUE: FUTURE WINDOW","BENCHMARK SCENARIO"))))</f>
        <v>BENCHMARK SCENARIO</v>
      </c>
      <c r="H37" s="15">
        <f>IF(C37&lt;&gt;"OK","",IF(G37="SCHEDULED",'Case inputs'!F37,IF('Case inputs'!G37&lt;&gt;"",'Case inputs'!G37,IF(F37&lt;Assumptions!$B$5,EDATE(Assumptions!$B$5,Assumptions!$B$17),F37))))</f>
        <v>46355</v>
      </c>
      <c r="I37" s="16" t="str">
        <f t="shared" si="0"/>
        <v/>
      </c>
      <c r="J37" s="15">
        <f>IF(C37&lt;&gt;"OK","",IF(B37="INITIAL",EDATE(I37,Assumptions!$B$12)+Assumptions!$B$11,IF(B37="RECON",H37,"")))</f>
        <v>46355</v>
      </c>
      <c r="K37" s="15">
        <f>IF(C37&lt;&gt;"OK","",IF(B37="HEARING",'Case inputs'!D37,EDATE(J37,Assumptions!$B$13)))</f>
        <v>46385</v>
      </c>
      <c r="L37" s="15">
        <f>IF(C37&lt;&gt;"OK","",IF(G37="SCHEDULED",H37,EDATE(IF(B37="HEARING",H37,EDATE(K37,INT(D37))+ROUND(MOD(D37,1)*30.44,0)),Assumptions!$B$18)))</f>
        <v>46628</v>
      </c>
      <c r="M37" s="15">
        <f>IF(C37&lt;&gt;"OK","",EDATE(L37,Assumptions!$B$15))</f>
        <v>46659</v>
      </c>
      <c r="N37" s="17">
        <f>IF(C37&lt;&gt;"OK","",IF(B37="INITIAL",Assumptions!$B$21,0))</f>
        <v>0</v>
      </c>
      <c r="O37" s="17">
        <f>IF(C37&lt;&gt;"OK","",IF(B37="INITIAL",(1-Assumptions!$B$21)*Assumptions!$B$24*Assumptions!$B$22,IF(B37="RECON",Assumptions!$B$22,0)))</f>
        <v>0.2</v>
      </c>
      <c r="P37" s="17">
        <f>IF(C37&lt;&gt;"OK","",IF(B37="INITIAL",(1-Assumptions!$B$21)*Assumptions!$B$24*(1-Assumptions!$B$22)*Assumptions!$B$25,IF(B37="RECON",(1-Assumptions!$B$22)*Assumptions!$B$25,1)))</f>
        <v>0.72000000000000008</v>
      </c>
      <c r="Q37" s="17">
        <f>IF(C37&lt;&gt;"OK","",IF(B37="INITIAL",(1-Assumptions!$B$21)*(1-Assumptions!$B$24),0))</f>
        <v>0</v>
      </c>
      <c r="R37" s="17">
        <f>IF(C37&lt;&gt;"OK","",IF(B37="INITIAL",(1-Assumptions!$B$21)*Assumptions!$B$24*(1-Assumptions!$B$22)*(1-Assumptions!$B$25),IF(B37="RECON",(1-Assumptions!$B$22)*(1-Assumptions!$B$25),0)))</f>
        <v>7.9999999999999988E-2</v>
      </c>
      <c r="S37" s="17">
        <f>IF(C37&lt;&gt;"OK","",P37*Assumptions!$B$23)</f>
        <v>0.39600000000000007</v>
      </c>
      <c r="T37" s="17">
        <f>IF(C37&lt;&gt;"OK","",P37*(1-Assumptions!$B$23))</f>
        <v>0.32400000000000001</v>
      </c>
      <c r="U37" s="18">
        <f t="shared" si="1"/>
        <v>1.0000000000000002</v>
      </c>
      <c r="V37" s="15" t="str">
        <f>IF(C37&lt;&gt;"OK","",IF(B37="INITIAL",EDATE(I37,Assumptions!$B$14),""))</f>
        <v/>
      </c>
      <c r="W37" s="15">
        <f>IF(C37&lt;&gt;"OK","",IF(B37="HEARING","",EDATE(J37,Assumptions!$B$14)))</f>
        <v>46385</v>
      </c>
      <c r="X37" s="15">
        <f>IF(C37&lt;&gt;"OK","",EDATE(M37,Assumptions!$B$16))</f>
        <v>46720</v>
      </c>
    </row>
    <row r="38" spans="1:24" ht="22" customHeight="1">
      <c r="A38" s="11" t="str">
        <f>IF('Case inputs'!A38="","",'Case inputs'!A38)</f>
        <v>R-008</v>
      </c>
      <c r="B38" s="11" t="str">
        <f>IF(A38="","",'Case inputs'!C38)</f>
        <v>RECON</v>
      </c>
      <c r="C38" s="11" t="str">
        <f>IF('Case inputs'!I38="","",IF(Assumptions!$B$38&lt;&gt;"OK","ASSUMPTIONS INVALID",'Case inputs'!I38))</f>
        <v>OK</v>
      </c>
      <c r="D38" s="11">
        <f>IF(C38&lt;&gt;"OK","",VLOOKUP('Case inputs'!E38,Benchmarks!$A$6:$C$164,3,FALSE))</f>
        <v>8</v>
      </c>
      <c r="E38" s="11">
        <f>IF(C38&lt;&gt;"OK","",Assumptions!$B$5-'Case inputs'!D38)</f>
        <v>153</v>
      </c>
      <c r="F38" s="15">
        <f>IF(C38&lt;&gt;"OK","",IF(B38="INITIAL",'Case inputs'!D38+Assumptions!$B$10,IF(B38="RECON",'Case inputs'!D38+Assumptions!$B$11,EDATE('Case inputs'!D38,INT(D38))+ROUND(MOD(D38,1)*30.44,0))))</f>
        <v>46355</v>
      </c>
      <c r="G38" s="11" t="str">
        <f>IF(C38&lt;&gt;"OK","",IF(AND(B38="HEARING",'Case inputs'!F38&lt;&gt;"",'Case inputs'!F38&gt;=Assumptions!$B$5),"SCHEDULED",IF('Case inputs'!G38&lt;&gt;"","REVIEWED OVERRIDE",IF(F38&lt;Assumptions!$B$5,"OVERDUE: FUTURE WINDOW","BENCHMARK SCENARIO"))))</f>
        <v>BENCHMARK SCENARIO</v>
      </c>
      <c r="H38" s="15">
        <f>IF(C38&lt;&gt;"OK","",IF(G38="SCHEDULED",'Case inputs'!F38,IF('Case inputs'!G38&lt;&gt;"",'Case inputs'!G38,IF(F38&lt;Assumptions!$B$5,EDATE(Assumptions!$B$5,Assumptions!$B$17),F38))))</f>
        <v>46355</v>
      </c>
      <c r="I38" s="16" t="str">
        <f t="shared" ref="I38:I69" si="2">IF(C38&lt;&gt;"OK","",IF(B38="INITIAL",H38,""))</f>
        <v/>
      </c>
      <c r="J38" s="15">
        <f>IF(C38&lt;&gt;"OK","",IF(B38="INITIAL",EDATE(I38,Assumptions!$B$12)+Assumptions!$B$11,IF(B38="RECON",H38,"")))</f>
        <v>46355</v>
      </c>
      <c r="K38" s="15">
        <f>IF(C38&lt;&gt;"OK","",IF(B38="HEARING",'Case inputs'!D38,EDATE(J38,Assumptions!$B$13)))</f>
        <v>46385</v>
      </c>
      <c r="L38" s="15">
        <f>IF(C38&lt;&gt;"OK","",IF(G38="SCHEDULED",H38,EDATE(IF(B38="HEARING",H38,EDATE(K38,INT(D38))+ROUND(MOD(D38,1)*30.44,0)),Assumptions!$B$18)))</f>
        <v>46628</v>
      </c>
      <c r="M38" s="15">
        <f>IF(C38&lt;&gt;"OK","",EDATE(L38,Assumptions!$B$15))</f>
        <v>46659</v>
      </c>
      <c r="N38" s="17">
        <f>IF(C38&lt;&gt;"OK","",IF(B38="INITIAL",Assumptions!$B$21,0))</f>
        <v>0</v>
      </c>
      <c r="O38" s="17">
        <f>IF(C38&lt;&gt;"OK","",IF(B38="INITIAL",(1-Assumptions!$B$21)*Assumptions!$B$24*Assumptions!$B$22,IF(B38="RECON",Assumptions!$B$22,0)))</f>
        <v>0.2</v>
      </c>
      <c r="P38" s="17">
        <f>IF(C38&lt;&gt;"OK","",IF(B38="INITIAL",(1-Assumptions!$B$21)*Assumptions!$B$24*(1-Assumptions!$B$22)*Assumptions!$B$25,IF(B38="RECON",(1-Assumptions!$B$22)*Assumptions!$B$25,1)))</f>
        <v>0.72000000000000008</v>
      </c>
      <c r="Q38" s="17">
        <f>IF(C38&lt;&gt;"OK","",IF(B38="INITIAL",(1-Assumptions!$B$21)*(1-Assumptions!$B$24),0))</f>
        <v>0</v>
      </c>
      <c r="R38" s="17">
        <f>IF(C38&lt;&gt;"OK","",IF(B38="INITIAL",(1-Assumptions!$B$21)*Assumptions!$B$24*(1-Assumptions!$B$22)*(1-Assumptions!$B$25),IF(B38="RECON",(1-Assumptions!$B$22)*(1-Assumptions!$B$25),0)))</f>
        <v>7.9999999999999988E-2</v>
      </c>
      <c r="S38" s="17">
        <f>IF(C38&lt;&gt;"OK","",P38*Assumptions!$B$23)</f>
        <v>0.39600000000000007</v>
      </c>
      <c r="T38" s="17">
        <f>IF(C38&lt;&gt;"OK","",P38*(1-Assumptions!$B$23))</f>
        <v>0.32400000000000001</v>
      </c>
      <c r="U38" s="18">
        <f t="shared" ref="U38:U69" si="3">IF(C38&lt;&gt;"OK","",SUM(N38:O38,Q38:T38))</f>
        <v>1.0000000000000002</v>
      </c>
      <c r="V38" s="15" t="str">
        <f>IF(C38&lt;&gt;"OK","",IF(B38="INITIAL",EDATE(I38,Assumptions!$B$14),""))</f>
        <v/>
      </c>
      <c r="W38" s="15">
        <f>IF(C38&lt;&gt;"OK","",IF(B38="HEARING","",EDATE(J38,Assumptions!$B$14)))</f>
        <v>46385</v>
      </c>
      <c r="X38" s="15">
        <f>IF(C38&lt;&gt;"OK","",EDATE(M38,Assumptions!$B$16))</f>
        <v>46720</v>
      </c>
    </row>
    <row r="39" spans="1:24" ht="22" customHeight="1">
      <c r="A39" s="11" t="str">
        <f>IF('Case inputs'!A39="","",'Case inputs'!A39)</f>
        <v>R-009</v>
      </c>
      <c r="B39" s="11" t="str">
        <f>IF(A39="","",'Case inputs'!C39)</f>
        <v>RECON</v>
      </c>
      <c r="C39" s="11" t="str">
        <f>IF('Case inputs'!I39="","",IF(Assumptions!$B$38&lt;&gt;"OK","ASSUMPTIONS INVALID",'Case inputs'!I39))</f>
        <v>OK</v>
      </c>
      <c r="D39" s="11">
        <f>IF(C39&lt;&gt;"OK","",VLOOKUP('Case inputs'!E39,Benchmarks!$A$6:$C$164,3,FALSE))</f>
        <v>8</v>
      </c>
      <c r="E39" s="11">
        <f>IF(C39&lt;&gt;"OK","",Assumptions!$B$5-'Case inputs'!D39)</f>
        <v>153</v>
      </c>
      <c r="F39" s="15">
        <f>IF(C39&lt;&gt;"OK","",IF(B39="INITIAL",'Case inputs'!D39+Assumptions!$B$10,IF(B39="RECON",'Case inputs'!D39+Assumptions!$B$11,EDATE('Case inputs'!D39,INT(D39))+ROUND(MOD(D39,1)*30.44,0))))</f>
        <v>46355</v>
      </c>
      <c r="G39" s="11" t="str">
        <f>IF(C39&lt;&gt;"OK","",IF(AND(B39="HEARING",'Case inputs'!F39&lt;&gt;"",'Case inputs'!F39&gt;=Assumptions!$B$5),"SCHEDULED",IF('Case inputs'!G39&lt;&gt;"","REVIEWED OVERRIDE",IF(F39&lt;Assumptions!$B$5,"OVERDUE: FUTURE WINDOW","BENCHMARK SCENARIO"))))</f>
        <v>BENCHMARK SCENARIO</v>
      </c>
      <c r="H39" s="15">
        <f>IF(C39&lt;&gt;"OK","",IF(G39="SCHEDULED",'Case inputs'!F39,IF('Case inputs'!G39&lt;&gt;"",'Case inputs'!G39,IF(F39&lt;Assumptions!$B$5,EDATE(Assumptions!$B$5,Assumptions!$B$17),F39))))</f>
        <v>46355</v>
      </c>
      <c r="I39" s="16" t="str">
        <f t="shared" si="2"/>
        <v/>
      </c>
      <c r="J39" s="15">
        <f>IF(C39&lt;&gt;"OK","",IF(B39="INITIAL",EDATE(I39,Assumptions!$B$12)+Assumptions!$B$11,IF(B39="RECON",H39,"")))</f>
        <v>46355</v>
      </c>
      <c r="K39" s="15">
        <f>IF(C39&lt;&gt;"OK","",IF(B39="HEARING",'Case inputs'!D39,EDATE(J39,Assumptions!$B$13)))</f>
        <v>46385</v>
      </c>
      <c r="L39" s="15">
        <f>IF(C39&lt;&gt;"OK","",IF(G39="SCHEDULED",H39,EDATE(IF(B39="HEARING",H39,EDATE(K39,INT(D39))+ROUND(MOD(D39,1)*30.44,0)),Assumptions!$B$18)))</f>
        <v>46628</v>
      </c>
      <c r="M39" s="15">
        <f>IF(C39&lt;&gt;"OK","",EDATE(L39,Assumptions!$B$15))</f>
        <v>46659</v>
      </c>
      <c r="N39" s="17">
        <f>IF(C39&lt;&gt;"OK","",IF(B39="INITIAL",Assumptions!$B$21,0))</f>
        <v>0</v>
      </c>
      <c r="O39" s="17">
        <f>IF(C39&lt;&gt;"OK","",IF(B39="INITIAL",(1-Assumptions!$B$21)*Assumptions!$B$24*Assumptions!$B$22,IF(B39="RECON",Assumptions!$B$22,0)))</f>
        <v>0.2</v>
      </c>
      <c r="P39" s="17">
        <f>IF(C39&lt;&gt;"OK","",IF(B39="INITIAL",(1-Assumptions!$B$21)*Assumptions!$B$24*(1-Assumptions!$B$22)*Assumptions!$B$25,IF(B39="RECON",(1-Assumptions!$B$22)*Assumptions!$B$25,1)))</f>
        <v>0.72000000000000008</v>
      </c>
      <c r="Q39" s="17">
        <f>IF(C39&lt;&gt;"OK","",IF(B39="INITIAL",(1-Assumptions!$B$21)*(1-Assumptions!$B$24),0))</f>
        <v>0</v>
      </c>
      <c r="R39" s="17">
        <f>IF(C39&lt;&gt;"OK","",IF(B39="INITIAL",(1-Assumptions!$B$21)*Assumptions!$B$24*(1-Assumptions!$B$22)*(1-Assumptions!$B$25),IF(B39="RECON",(1-Assumptions!$B$22)*(1-Assumptions!$B$25),0)))</f>
        <v>7.9999999999999988E-2</v>
      </c>
      <c r="S39" s="17">
        <f>IF(C39&lt;&gt;"OK","",P39*Assumptions!$B$23)</f>
        <v>0.39600000000000007</v>
      </c>
      <c r="T39" s="17">
        <f>IF(C39&lt;&gt;"OK","",P39*(1-Assumptions!$B$23))</f>
        <v>0.32400000000000001</v>
      </c>
      <c r="U39" s="18">
        <f t="shared" si="3"/>
        <v>1.0000000000000002</v>
      </c>
      <c r="V39" s="15" t="str">
        <f>IF(C39&lt;&gt;"OK","",IF(B39="INITIAL",EDATE(I39,Assumptions!$B$14),""))</f>
        <v/>
      </c>
      <c r="W39" s="15">
        <f>IF(C39&lt;&gt;"OK","",IF(B39="HEARING","",EDATE(J39,Assumptions!$B$14)))</f>
        <v>46385</v>
      </c>
      <c r="X39" s="15">
        <f>IF(C39&lt;&gt;"OK","",EDATE(M39,Assumptions!$B$16))</f>
        <v>46720</v>
      </c>
    </row>
    <row r="40" spans="1:24" ht="22" customHeight="1">
      <c r="A40" s="11" t="str">
        <f>IF('Case inputs'!A40="","",'Case inputs'!A40)</f>
        <v>R-010</v>
      </c>
      <c r="B40" s="11" t="str">
        <f>IF(A40="","",'Case inputs'!C40)</f>
        <v>RECON</v>
      </c>
      <c r="C40" s="11" t="str">
        <f>IF('Case inputs'!I40="","",IF(Assumptions!$B$38&lt;&gt;"OK","ASSUMPTIONS INVALID",'Case inputs'!I40))</f>
        <v>OK</v>
      </c>
      <c r="D40" s="11">
        <f>IF(C40&lt;&gt;"OK","",VLOOKUP('Case inputs'!E40,Benchmarks!$A$6:$C$164,3,FALSE))</f>
        <v>8</v>
      </c>
      <c r="E40" s="11">
        <f>IF(C40&lt;&gt;"OK","",Assumptions!$B$5-'Case inputs'!D40)</f>
        <v>153</v>
      </c>
      <c r="F40" s="15">
        <f>IF(C40&lt;&gt;"OK","",IF(B40="INITIAL",'Case inputs'!D40+Assumptions!$B$10,IF(B40="RECON",'Case inputs'!D40+Assumptions!$B$11,EDATE('Case inputs'!D40,INT(D40))+ROUND(MOD(D40,1)*30.44,0))))</f>
        <v>46355</v>
      </c>
      <c r="G40" s="11" t="str">
        <f>IF(C40&lt;&gt;"OK","",IF(AND(B40="HEARING",'Case inputs'!F40&lt;&gt;"",'Case inputs'!F40&gt;=Assumptions!$B$5),"SCHEDULED",IF('Case inputs'!G40&lt;&gt;"","REVIEWED OVERRIDE",IF(F40&lt;Assumptions!$B$5,"OVERDUE: FUTURE WINDOW","BENCHMARK SCENARIO"))))</f>
        <v>BENCHMARK SCENARIO</v>
      </c>
      <c r="H40" s="15">
        <f>IF(C40&lt;&gt;"OK","",IF(G40="SCHEDULED",'Case inputs'!F40,IF('Case inputs'!G40&lt;&gt;"",'Case inputs'!G40,IF(F40&lt;Assumptions!$B$5,EDATE(Assumptions!$B$5,Assumptions!$B$17),F40))))</f>
        <v>46355</v>
      </c>
      <c r="I40" s="16" t="str">
        <f t="shared" si="2"/>
        <v/>
      </c>
      <c r="J40" s="15">
        <f>IF(C40&lt;&gt;"OK","",IF(B40="INITIAL",EDATE(I40,Assumptions!$B$12)+Assumptions!$B$11,IF(B40="RECON",H40,"")))</f>
        <v>46355</v>
      </c>
      <c r="K40" s="15">
        <f>IF(C40&lt;&gt;"OK","",IF(B40="HEARING",'Case inputs'!D40,EDATE(J40,Assumptions!$B$13)))</f>
        <v>46385</v>
      </c>
      <c r="L40" s="15">
        <f>IF(C40&lt;&gt;"OK","",IF(G40="SCHEDULED",H40,EDATE(IF(B40="HEARING",H40,EDATE(K40,INT(D40))+ROUND(MOD(D40,1)*30.44,0)),Assumptions!$B$18)))</f>
        <v>46628</v>
      </c>
      <c r="M40" s="15">
        <f>IF(C40&lt;&gt;"OK","",EDATE(L40,Assumptions!$B$15))</f>
        <v>46659</v>
      </c>
      <c r="N40" s="17">
        <f>IF(C40&lt;&gt;"OK","",IF(B40="INITIAL",Assumptions!$B$21,0))</f>
        <v>0</v>
      </c>
      <c r="O40" s="17">
        <f>IF(C40&lt;&gt;"OK","",IF(B40="INITIAL",(1-Assumptions!$B$21)*Assumptions!$B$24*Assumptions!$B$22,IF(B40="RECON",Assumptions!$B$22,0)))</f>
        <v>0.2</v>
      </c>
      <c r="P40" s="17">
        <f>IF(C40&lt;&gt;"OK","",IF(B40="INITIAL",(1-Assumptions!$B$21)*Assumptions!$B$24*(1-Assumptions!$B$22)*Assumptions!$B$25,IF(B40="RECON",(1-Assumptions!$B$22)*Assumptions!$B$25,1)))</f>
        <v>0.72000000000000008</v>
      </c>
      <c r="Q40" s="17">
        <f>IF(C40&lt;&gt;"OK","",IF(B40="INITIAL",(1-Assumptions!$B$21)*(1-Assumptions!$B$24),0))</f>
        <v>0</v>
      </c>
      <c r="R40" s="17">
        <f>IF(C40&lt;&gt;"OK","",IF(B40="INITIAL",(1-Assumptions!$B$21)*Assumptions!$B$24*(1-Assumptions!$B$22)*(1-Assumptions!$B$25),IF(B40="RECON",(1-Assumptions!$B$22)*(1-Assumptions!$B$25),0)))</f>
        <v>7.9999999999999988E-2</v>
      </c>
      <c r="S40" s="17">
        <f>IF(C40&lt;&gt;"OK","",P40*Assumptions!$B$23)</f>
        <v>0.39600000000000007</v>
      </c>
      <c r="T40" s="17">
        <f>IF(C40&lt;&gt;"OK","",P40*(1-Assumptions!$B$23))</f>
        <v>0.32400000000000001</v>
      </c>
      <c r="U40" s="18">
        <f t="shared" si="3"/>
        <v>1.0000000000000002</v>
      </c>
      <c r="V40" s="15" t="str">
        <f>IF(C40&lt;&gt;"OK","",IF(B40="INITIAL",EDATE(I40,Assumptions!$B$14),""))</f>
        <v/>
      </c>
      <c r="W40" s="15">
        <f>IF(C40&lt;&gt;"OK","",IF(B40="HEARING","",EDATE(J40,Assumptions!$B$14)))</f>
        <v>46385</v>
      </c>
      <c r="X40" s="15">
        <f>IF(C40&lt;&gt;"OK","",EDATE(M40,Assumptions!$B$16))</f>
        <v>46720</v>
      </c>
    </row>
    <row r="41" spans="1:24" ht="22" customHeight="1">
      <c r="A41" s="11" t="str">
        <f>IF('Case inputs'!A41="","",'Case inputs'!A41)</f>
        <v>R-011</v>
      </c>
      <c r="B41" s="11" t="str">
        <f>IF(A41="","",'Case inputs'!C41)</f>
        <v>RECON</v>
      </c>
      <c r="C41" s="11" t="str">
        <f>IF('Case inputs'!I41="","",IF(Assumptions!$B$38&lt;&gt;"OK","ASSUMPTIONS INVALID",'Case inputs'!I41))</f>
        <v>OK</v>
      </c>
      <c r="D41" s="11">
        <f>IF(C41&lt;&gt;"OK","",VLOOKUP('Case inputs'!E41,Benchmarks!$A$6:$C$164,3,FALSE))</f>
        <v>8</v>
      </c>
      <c r="E41" s="11">
        <f>IF(C41&lt;&gt;"OK","",Assumptions!$B$5-'Case inputs'!D41)</f>
        <v>122</v>
      </c>
      <c r="F41" s="15">
        <f>IF(C41&lt;&gt;"OK","",IF(B41="INITIAL",'Case inputs'!D41+Assumptions!$B$10,IF(B41="RECON",'Case inputs'!D41+Assumptions!$B$11,EDATE('Case inputs'!D41,INT(D41))+ROUND(MOD(D41,1)*30.44,0))))</f>
        <v>46386</v>
      </c>
      <c r="G41" s="11" t="str">
        <f>IF(C41&lt;&gt;"OK","",IF(AND(B41="HEARING",'Case inputs'!F41&lt;&gt;"",'Case inputs'!F41&gt;=Assumptions!$B$5),"SCHEDULED",IF('Case inputs'!G41&lt;&gt;"","REVIEWED OVERRIDE",IF(F41&lt;Assumptions!$B$5,"OVERDUE: FUTURE WINDOW","BENCHMARK SCENARIO"))))</f>
        <v>BENCHMARK SCENARIO</v>
      </c>
      <c r="H41" s="15">
        <f>IF(C41&lt;&gt;"OK","",IF(G41="SCHEDULED",'Case inputs'!F41,IF('Case inputs'!G41&lt;&gt;"",'Case inputs'!G41,IF(F41&lt;Assumptions!$B$5,EDATE(Assumptions!$B$5,Assumptions!$B$17),F41))))</f>
        <v>46386</v>
      </c>
      <c r="I41" s="16" t="str">
        <f t="shared" si="2"/>
        <v/>
      </c>
      <c r="J41" s="15">
        <f>IF(C41&lt;&gt;"OK","",IF(B41="INITIAL",EDATE(I41,Assumptions!$B$12)+Assumptions!$B$11,IF(B41="RECON",H41,"")))</f>
        <v>46386</v>
      </c>
      <c r="K41" s="15">
        <f>IF(C41&lt;&gt;"OK","",IF(B41="HEARING",'Case inputs'!D41,EDATE(J41,Assumptions!$B$13)))</f>
        <v>46417</v>
      </c>
      <c r="L41" s="15">
        <f>IF(C41&lt;&gt;"OK","",IF(G41="SCHEDULED",H41,EDATE(IF(B41="HEARING",H41,EDATE(K41,INT(D41))+ROUND(MOD(D41,1)*30.44,0)),Assumptions!$B$18)))</f>
        <v>46660</v>
      </c>
      <c r="M41" s="15">
        <f>IF(C41&lt;&gt;"OK","",EDATE(L41,Assumptions!$B$15))</f>
        <v>46690</v>
      </c>
      <c r="N41" s="17">
        <f>IF(C41&lt;&gt;"OK","",IF(B41="INITIAL",Assumptions!$B$21,0))</f>
        <v>0</v>
      </c>
      <c r="O41" s="17">
        <f>IF(C41&lt;&gt;"OK","",IF(B41="INITIAL",(1-Assumptions!$B$21)*Assumptions!$B$24*Assumptions!$B$22,IF(B41="RECON",Assumptions!$B$22,0)))</f>
        <v>0.2</v>
      </c>
      <c r="P41" s="17">
        <f>IF(C41&lt;&gt;"OK","",IF(B41="INITIAL",(1-Assumptions!$B$21)*Assumptions!$B$24*(1-Assumptions!$B$22)*Assumptions!$B$25,IF(B41="RECON",(1-Assumptions!$B$22)*Assumptions!$B$25,1)))</f>
        <v>0.72000000000000008</v>
      </c>
      <c r="Q41" s="17">
        <f>IF(C41&lt;&gt;"OK","",IF(B41="INITIAL",(1-Assumptions!$B$21)*(1-Assumptions!$B$24),0))</f>
        <v>0</v>
      </c>
      <c r="R41" s="17">
        <f>IF(C41&lt;&gt;"OK","",IF(B41="INITIAL",(1-Assumptions!$B$21)*Assumptions!$B$24*(1-Assumptions!$B$22)*(1-Assumptions!$B$25),IF(B41="RECON",(1-Assumptions!$B$22)*(1-Assumptions!$B$25),0)))</f>
        <v>7.9999999999999988E-2</v>
      </c>
      <c r="S41" s="17">
        <f>IF(C41&lt;&gt;"OK","",P41*Assumptions!$B$23)</f>
        <v>0.39600000000000007</v>
      </c>
      <c r="T41" s="17">
        <f>IF(C41&lt;&gt;"OK","",P41*(1-Assumptions!$B$23))</f>
        <v>0.32400000000000001</v>
      </c>
      <c r="U41" s="18">
        <f t="shared" si="3"/>
        <v>1.0000000000000002</v>
      </c>
      <c r="V41" s="15" t="str">
        <f>IF(C41&lt;&gt;"OK","",IF(B41="INITIAL",EDATE(I41,Assumptions!$B$14),""))</f>
        <v/>
      </c>
      <c r="W41" s="15">
        <f>IF(C41&lt;&gt;"OK","",IF(B41="HEARING","",EDATE(J41,Assumptions!$B$14)))</f>
        <v>46417</v>
      </c>
      <c r="X41" s="15">
        <f>IF(C41&lt;&gt;"OK","",EDATE(M41,Assumptions!$B$16))</f>
        <v>46751</v>
      </c>
    </row>
    <row r="42" spans="1:24" ht="22" customHeight="1">
      <c r="A42" s="11" t="str">
        <f>IF('Case inputs'!A42="","",'Case inputs'!A42)</f>
        <v>R-012</v>
      </c>
      <c r="B42" s="11" t="str">
        <f>IF(A42="","",'Case inputs'!C42)</f>
        <v>RECON</v>
      </c>
      <c r="C42" s="11" t="str">
        <f>IF('Case inputs'!I42="","",IF(Assumptions!$B$38&lt;&gt;"OK","ASSUMPTIONS INVALID",'Case inputs'!I42))</f>
        <v>OK</v>
      </c>
      <c r="D42" s="11">
        <f>IF(C42&lt;&gt;"OK","",VLOOKUP('Case inputs'!E42,Benchmarks!$A$6:$C$164,3,FALSE))</f>
        <v>8</v>
      </c>
      <c r="E42" s="11">
        <f>IF(C42&lt;&gt;"OK","",Assumptions!$B$5-'Case inputs'!D42)</f>
        <v>122</v>
      </c>
      <c r="F42" s="15">
        <f>IF(C42&lt;&gt;"OK","",IF(B42="INITIAL",'Case inputs'!D42+Assumptions!$B$10,IF(B42="RECON",'Case inputs'!D42+Assumptions!$B$11,EDATE('Case inputs'!D42,INT(D42))+ROUND(MOD(D42,1)*30.44,0))))</f>
        <v>46386</v>
      </c>
      <c r="G42" s="11" t="str">
        <f>IF(C42&lt;&gt;"OK","",IF(AND(B42="HEARING",'Case inputs'!F42&lt;&gt;"",'Case inputs'!F42&gt;=Assumptions!$B$5),"SCHEDULED",IF('Case inputs'!G42&lt;&gt;"","REVIEWED OVERRIDE",IF(F42&lt;Assumptions!$B$5,"OVERDUE: FUTURE WINDOW","BENCHMARK SCENARIO"))))</f>
        <v>BENCHMARK SCENARIO</v>
      </c>
      <c r="H42" s="15">
        <f>IF(C42&lt;&gt;"OK","",IF(G42="SCHEDULED",'Case inputs'!F42,IF('Case inputs'!G42&lt;&gt;"",'Case inputs'!G42,IF(F42&lt;Assumptions!$B$5,EDATE(Assumptions!$B$5,Assumptions!$B$17),F42))))</f>
        <v>46386</v>
      </c>
      <c r="I42" s="16" t="str">
        <f t="shared" si="2"/>
        <v/>
      </c>
      <c r="J42" s="15">
        <f>IF(C42&lt;&gt;"OK","",IF(B42="INITIAL",EDATE(I42,Assumptions!$B$12)+Assumptions!$B$11,IF(B42="RECON",H42,"")))</f>
        <v>46386</v>
      </c>
      <c r="K42" s="15">
        <f>IF(C42&lt;&gt;"OK","",IF(B42="HEARING",'Case inputs'!D42,EDATE(J42,Assumptions!$B$13)))</f>
        <v>46417</v>
      </c>
      <c r="L42" s="15">
        <f>IF(C42&lt;&gt;"OK","",IF(G42="SCHEDULED",H42,EDATE(IF(B42="HEARING",H42,EDATE(K42,INT(D42))+ROUND(MOD(D42,1)*30.44,0)),Assumptions!$B$18)))</f>
        <v>46660</v>
      </c>
      <c r="M42" s="15">
        <f>IF(C42&lt;&gt;"OK","",EDATE(L42,Assumptions!$B$15))</f>
        <v>46690</v>
      </c>
      <c r="N42" s="17">
        <f>IF(C42&lt;&gt;"OK","",IF(B42="INITIAL",Assumptions!$B$21,0))</f>
        <v>0</v>
      </c>
      <c r="O42" s="17">
        <f>IF(C42&lt;&gt;"OK","",IF(B42="INITIAL",(1-Assumptions!$B$21)*Assumptions!$B$24*Assumptions!$B$22,IF(B42="RECON",Assumptions!$B$22,0)))</f>
        <v>0.2</v>
      </c>
      <c r="P42" s="17">
        <f>IF(C42&lt;&gt;"OK","",IF(B42="INITIAL",(1-Assumptions!$B$21)*Assumptions!$B$24*(1-Assumptions!$B$22)*Assumptions!$B$25,IF(B42="RECON",(1-Assumptions!$B$22)*Assumptions!$B$25,1)))</f>
        <v>0.72000000000000008</v>
      </c>
      <c r="Q42" s="17">
        <f>IF(C42&lt;&gt;"OK","",IF(B42="INITIAL",(1-Assumptions!$B$21)*(1-Assumptions!$B$24),0))</f>
        <v>0</v>
      </c>
      <c r="R42" s="17">
        <f>IF(C42&lt;&gt;"OK","",IF(B42="INITIAL",(1-Assumptions!$B$21)*Assumptions!$B$24*(1-Assumptions!$B$22)*(1-Assumptions!$B$25),IF(B42="RECON",(1-Assumptions!$B$22)*(1-Assumptions!$B$25),0)))</f>
        <v>7.9999999999999988E-2</v>
      </c>
      <c r="S42" s="17">
        <f>IF(C42&lt;&gt;"OK","",P42*Assumptions!$B$23)</f>
        <v>0.39600000000000007</v>
      </c>
      <c r="T42" s="17">
        <f>IF(C42&lt;&gt;"OK","",P42*(1-Assumptions!$B$23))</f>
        <v>0.32400000000000001</v>
      </c>
      <c r="U42" s="18">
        <f t="shared" si="3"/>
        <v>1.0000000000000002</v>
      </c>
      <c r="V42" s="15" t="str">
        <f>IF(C42&lt;&gt;"OK","",IF(B42="INITIAL",EDATE(I42,Assumptions!$B$14),""))</f>
        <v/>
      </c>
      <c r="W42" s="15">
        <f>IF(C42&lt;&gt;"OK","",IF(B42="HEARING","",EDATE(J42,Assumptions!$B$14)))</f>
        <v>46417</v>
      </c>
      <c r="X42" s="15">
        <f>IF(C42&lt;&gt;"OK","",EDATE(M42,Assumptions!$B$16))</f>
        <v>46751</v>
      </c>
    </row>
    <row r="43" spans="1:24" ht="22" customHeight="1">
      <c r="A43" s="11" t="str">
        <f>IF('Case inputs'!A43="","",'Case inputs'!A43)</f>
        <v>R-013</v>
      </c>
      <c r="B43" s="11" t="str">
        <f>IF(A43="","",'Case inputs'!C43)</f>
        <v>RECON</v>
      </c>
      <c r="C43" s="11" t="str">
        <f>IF('Case inputs'!I43="","",IF(Assumptions!$B$38&lt;&gt;"OK","ASSUMPTIONS INVALID",'Case inputs'!I43))</f>
        <v>OK</v>
      </c>
      <c r="D43" s="11">
        <f>IF(C43&lt;&gt;"OK","",VLOOKUP('Case inputs'!E43,Benchmarks!$A$6:$C$164,3,FALSE))</f>
        <v>8</v>
      </c>
      <c r="E43" s="11">
        <f>IF(C43&lt;&gt;"OK","",Assumptions!$B$5-'Case inputs'!D43)</f>
        <v>122</v>
      </c>
      <c r="F43" s="15">
        <f>IF(C43&lt;&gt;"OK","",IF(B43="INITIAL",'Case inputs'!D43+Assumptions!$B$10,IF(B43="RECON",'Case inputs'!D43+Assumptions!$B$11,EDATE('Case inputs'!D43,INT(D43))+ROUND(MOD(D43,1)*30.44,0))))</f>
        <v>46386</v>
      </c>
      <c r="G43" s="11" t="str">
        <f>IF(C43&lt;&gt;"OK","",IF(AND(B43="HEARING",'Case inputs'!F43&lt;&gt;"",'Case inputs'!F43&gt;=Assumptions!$B$5),"SCHEDULED",IF('Case inputs'!G43&lt;&gt;"","REVIEWED OVERRIDE",IF(F43&lt;Assumptions!$B$5,"OVERDUE: FUTURE WINDOW","BENCHMARK SCENARIO"))))</f>
        <v>BENCHMARK SCENARIO</v>
      </c>
      <c r="H43" s="15">
        <f>IF(C43&lt;&gt;"OK","",IF(G43="SCHEDULED",'Case inputs'!F43,IF('Case inputs'!G43&lt;&gt;"",'Case inputs'!G43,IF(F43&lt;Assumptions!$B$5,EDATE(Assumptions!$B$5,Assumptions!$B$17),F43))))</f>
        <v>46386</v>
      </c>
      <c r="I43" s="16" t="str">
        <f t="shared" si="2"/>
        <v/>
      </c>
      <c r="J43" s="15">
        <f>IF(C43&lt;&gt;"OK","",IF(B43="INITIAL",EDATE(I43,Assumptions!$B$12)+Assumptions!$B$11,IF(B43="RECON",H43,"")))</f>
        <v>46386</v>
      </c>
      <c r="K43" s="15">
        <f>IF(C43&lt;&gt;"OK","",IF(B43="HEARING",'Case inputs'!D43,EDATE(J43,Assumptions!$B$13)))</f>
        <v>46417</v>
      </c>
      <c r="L43" s="15">
        <f>IF(C43&lt;&gt;"OK","",IF(G43="SCHEDULED",H43,EDATE(IF(B43="HEARING",H43,EDATE(K43,INT(D43))+ROUND(MOD(D43,1)*30.44,0)),Assumptions!$B$18)))</f>
        <v>46660</v>
      </c>
      <c r="M43" s="15">
        <f>IF(C43&lt;&gt;"OK","",EDATE(L43,Assumptions!$B$15))</f>
        <v>46690</v>
      </c>
      <c r="N43" s="17">
        <f>IF(C43&lt;&gt;"OK","",IF(B43="INITIAL",Assumptions!$B$21,0))</f>
        <v>0</v>
      </c>
      <c r="O43" s="17">
        <f>IF(C43&lt;&gt;"OK","",IF(B43="INITIAL",(1-Assumptions!$B$21)*Assumptions!$B$24*Assumptions!$B$22,IF(B43="RECON",Assumptions!$B$22,0)))</f>
        <v>0.2</v>
      </c>
      <c r="P43" s="17">
        <f>IF(C43&lt;&gt;"OK","",IF(B43="INITIAL",(1-Assumptions!$B$21)*Assumptions!$B$24*(1-Assumptions!$B$22)*Assumptions!$B$25,IF(B43="RECON",(1-Assumptions!$B$22)*Assumptions!$B$25,1)))</f>
        <v>0.72000000000000008</v>
      </c>
      <c r="Q43" s="17">
        <f>IF(C43&lt;&gt;"OK","",IF(B43="INITIAL",(1-Assumptions!$B$21)*(1-Assumptions!$B$24),0))</f>
        <v>0</v>
      </c>
      <c r="R43" s="17">
        <f>IF(C43&lt;&gt;"OK","",IF(B43="INITIAL",(1-Assumptions!$B$21)*Assumptions!$B$24*(1-Assumptions!$B$22)*(1-Assumptions!$B$25),IF(B43="RECON",(1-Assumptions!$B$22)*(1-Assumptions!$B$25),0)))</f>
        <v>7.9999999999999988E-2</v>
      </c>
      <c r="S43" s="17">
        <f>IF(C43&lt;&gt;"OK","",P43*Assumptions!$B$23)</f>
        <v>0.39600000000000007</v>
      </c>
      <c r="T43" s="17">
        <f>IF(C43&lt;&gt;"OK","",P43*(1-Assumptions!$B$23))</f>
        <v>0.32400000000000001</v>
      </c>
      <c r="U43" s="18">
        <f t="shared" si="3"/>
        <v>1.0000000000000002</v>
      </c>
      <c r="V43" s="15" t="str">
        <f>IF(C43&lt;&gt;"OK","",IF(B43="INITIAL",EDATE(I43,Assumptions!$B$14),""))</f>
        <v/>
      </c>
      <c r="W43" s="15">
        <f>IF(C43&lt;&gt;"OK","",IF(B43="HEARING","",EDATE(J43,Assumptions!$B$14)))</f>
        <v>46417</v>
      </c>
      <c r="X43" s="15">
        <f>IF(C43&lt;&gt;"OK","",EDATE(M43,Assumptions!$B$16))</f>
        <v>46751</v>
      </c>
    </row>
    <row r="44" spans="1:24" ht="22" customHeight="1">
      <c r="A44" s="11" t="str">
        <f>IF('Case inputs'!A44="","",'Case inputs'!A44)</f>
        <v>R-014</v>
      </c>
      <c r="B44" s="11" t="str">
        <f>IF(A44="","",'Case inputs'!C44)</f>
        <v>RECON</v>
      </c>
      <c r="C44" s="11" t="str">
        <f>IF('Case inputs'!I44="","",IF(Assumptions!$B$38&lt;&gt;"OK","ASSUMPTIONS INVALID",'Case inputs'!I44))</f>
        <v>OK</v>
      </c>
      <c r="D44" s="11">
        <f>IF(C44&lt;&gt;"OK","",VLOOKUP('Case inputs'!E44,Benchmarks!$A$6:$C$164,3,FALSE))</f>
        <v>8</v>
      </c>
      <c r="E44" s="11">
        <f>IF(C44&lt;&gt;"OK","",Assumptions!$B$5-'Case inputs'!D44)</f>
        <v>122</v>
      </c>
      <c r="F44" s="15">
        <f>IF(C44&lt;&gt;"OK","",IF(B44="INITIAL",'Case inputs'!D44+Assumptions!$B$10,IF(B44="RECON",'Case inputs'!D44+Assumptions!$B$11,EDATE('Case inputs'!D44,INT(D44))+ROUND(MOD(D44,1)*30.44,0))))</f>
        <v>46386</v>
      </c>
      <c r="G44" s="11" t="str">
        <f>IF(C44&lt;&gt;"OK","",IF(AND(B44="HEARING",'Case inputs'!F44&lt;&gt;"",'Case inputs'!F44&gt;=Assumptions!$B$5),"SCHEDULED",IF('Case inputs'!G44&lt;&gt;"","REVIEWED OVERRIDE",IF(F44&lt;Assumptions!$B$5,"OVERDUE: FUTURE WINDOW","BENCHMARK SCENARIO"))))</f>
        <v>BENCHMARK SCENARIO</v>
      </c>
      <c r="H44" s="15">
        <f>IF(C44&lt;&gt;"OK","",IF(G44="SCHEDULED",'Case inputs'!F44,IF('Case inputs'!G44&lt;&gt;"",'Case inputs'!G44,IF(F44&lt;Assumptions!$B$5,EDATE(Assumptions!$B$5,Assumptions!$B$17),F44))))</f>
        <v>46386</v>
      </c>
      <c r="I44" s="16" t="str">
        <f t="shared" si="2"/>
        <v/>
      </c>
      <c r="J44" s="15">
        <f>IF(C44&lt;&gt;"OK","",IF(B44="INITIAL",EDATE(I44,Assumptions!$B$12)+Assumptions!$B$11,IF(B44="RECON",H44,"")))</f>
        <v>46386</v>
      </c>
      <c r="K44" s="15">
        <f>IF(C44&lt;&gt;"OK","",IF(B44="HEARING",'Case inputs'!D44,EDATE(J44,Assumptions!$B$13)))</f>
        <v>46417</v>
      </c>
      <c r="L44" s="15">
        <f>IF(C44&lt;&gt;"OK","",IF(G44="SCHEDULED",H44,EDATE(IF(B44="HEARING",H44,EDATE(K44,INT(D44))+ROUND(MOD(D44,1)*30.44,0)),Assumptions!$B$18)))</f>
        <v>46660</v>
      </c>
      <c r="M44" s="15">
        <f>IF(C44&lt;&gt;"OK","",EDATE(L44,Assumptions!$B$15))</f>
        <v>46690</v>
      </c>
      <c r="N44" s="17">
        <f>IF(C44&lt;&gt;"OK","",IF(B44="INITIAL",Assumptions!$B$21,0))</f>
        <v>0</v>
      </c>
      <c r="O44" s="17">
        <f>IF(C44&lt;&gt;"OK","",IF(B44="INITIAL",(1-Assumptions!$B$21)*Assumptions!$B$24*Assumptions!$B$22,IF(B44="RECON",Assumptions!$B$22,0)))</f>
        <v>0.2</v>
      </c>
      <c r="P44" s="17">
        <f>IF(C44&lt;&gt;"OK","",IF(B44="INITIAL",(1-Assumptions!$B$21)*Assumptions!$B$24*(1-Assumptions!$B$22)*Assumptions!$B$25,IF(B44="RECON",(1-Assumptions!$B$22)*Assumptions!$B$25,1)))</f>
        <v>0.72000000000000008</v>
      </c>
      <c r="Q44" s="17">
        <f>IF(C44&lt;&gt;"OK","",IF(B44="INITIAL",(1-Assumptions!$B$21)*(1-Assumptions!$B$24),0))</f>
        <v>0</v>
      </c>
      <c r="R44" s="17">
        <f>IF(C44&lt;&gt;"OK","",IF(B44="INITIAL",(1-Assumptions!$B$21)*Assumptions!$B$24*(1-Assumptions!$B$22)*(1-Assumptions!$B$25),IF(B44="RECON",(1-Assumptions!$B$22)*(1-Assumptions!$B$25),0)))</f>
        <v>7.9999999999999988E-2</v>
      </c>
      <c r="S44" s="17">
        <f>IF(C44&lt;&gt;"OK","",P44*Assumptions!$B$23)</f>
        <v>0.39600000000000007</v>
      </c>
      <c r="T44" s="17">
        <f>IF(C44&lt;&gt;"OK","",P44*(1-Assumptions!$B$23))</f>
        <v>0.32400000000000001</v>
      </c>
      <c r="U44" s="18">
        <f t="shared" si="3"/>
        <v>1.0000000000000002</v>
      </c>
      <c r="V44" s="15" t="str">
        <f>IF(C44&lt;&gt;"OK","",IF(B44="INITIAL",EDATE(I44,Assumptions!$B$14),""))</f>
        <v/>
      </c>
      <c r="W44" s="15">
        <f>IF(C44&lt;&gt;"OK","",IF(B44="HEARING","",EDATE(J44,Assumptions!$B$14)))</f>
        <v>46417</v>
      </c>
      <c r="X44" s="15">
        <f>IF(C44&lt;&gt;"OK","",EDATE(M44,Assumptions!$B$16))</f>
        <v>46751</v>
      </c>
    </row>
    <row r="45" spans="1:24" ht="22" customHeight="1">
      <c r="A45" s="11" t="str">
        <f>IF('Case inputs'!A45="","",'Case inputs'!A45)</f>
        <v>R-015</v>
      </c>
      <c r="B45" s="11" t="str">
        <f>IF(A45="","",'Case inputs'!C45)</f>
        <v>RECON</v>
      </c>
      <c r="C45" s="11" t="str">
        <f>IF('Case inputs'!I45="","",IF(Assumptions!$B$38&lt;&gt;"OK","ASSUMPTIONS INVALID",'Case inputs'!I45))</f>
        <v>OK</v>
      </c>
      <c r="D45" s="11">
        <f>IF(C45&lt;&gt;"OK","",VLOOKUP('Case inputs'!E45,Benchmarks!$A$6:$C$164,3,FALSE))</f>
        <v>8</v>
      </c>
      <c r="E45" s="11">
        <f>IF(C45&lt;&gt;"OK","",Assumptions!$B$5-'Case inputs'!D45)</f>
        <v>122</v>
      </c>
      <c r="F45" s="15">
        <f>IF(C45&lt;&gt;"OK","",IF(B45="INITIAL",'Case inputs'!D45+Assumptions!$B$10,IF(B45="RECON",'Case inputs'!D45+Assumptions!$B$11,EDATE('Case inputs'!D45,INT(D45))+ROUND(MOD(D45,1)*30.44,0))))</f>
        <v>46386</v>
      </c>
      <c r="G45" s="11" t="str">
        <f>IF(C45&lt;&gt;"OK","",IF(AND(B45="HEARING",'Case inputs'!F45&lt;&gt;"",'Case inputs'!F45&gt;=Assumptions!$B$5),"SCHEDULED",IF('Case inputs'!G45&lt;&gt;"","REVIEWED OVERRIDE",IF(F45&lt;Assumptions!$B$5,"OVERDUE: FUTURE WINDOW","BENCHMARK SCENARIO"))))</f>
        <v>BENCHMARK SCENARIO</v>
      </c>
      <c r="H45" s="15">
        <f>IF(C45&lt;&gt;"OK","",IF(G45="SCHEDULED",'Case inputs'!F45,IF('Case inputs'!G45&lt;&gt;"",'Case inputs'!G45,IF(F45&lt;Assumptions!$B$5,EDATE(Assumptions!$B$5,Assumptions!$B$17),F45))))</f>
        <v>46386</v>
      </c>
      <c r="I45" s="16" t="str">
        <f t="shared" si="2"/>
        <v/>
      </c>
      <c r="J45" s="15">
        <f>IF(C45&lt;&gt;"OK","",IF(B45="INITIAL",EDATE(I45,Assumptions!$B$12)+Assumptions!$B$11,IF(B45="RECON",H45,"")))</f>
        <v>46386</v>
      </c>
      <c r="K45" s="15">
        <f>IF(C45&lt;&gt;"OK","",IF(B45="HEARING",'Case inputs'!D45,EDATE(J45,Assumptions!$B$13)))</f>
        <v>46417</v>
      </c>
      <c r="L45" s="15">
        <f>IF(C45&lt;&gt;"OK","",IF(G45="SCHEDULED",H45,EDATE(IF(B45="HEARING",H45,EDATE(K45,INT(D45))+ROUND(MOD(D45,1)*30.44,0)),Assumptions!$B$18)))</f>
        <v>46660</v>
      </c>
      <c r="M45" s="15">
        <f>IF(C45&lt;&gt;"OK","",EDATE(L45,Assumptions!$B$15))</f>
        <v>46690</v>
      </c>
      <c r="N45" s="17">
        <f>IF(C45&lt;&gt;"OK","",IF(B45="INITIAL",Assumptions!$B$21,0))</f>
        <v>0</v>
      </c>
      <c r="O45" s="17">
        <f>IF(C45&lt;&gt;"OK","",IF(B45="INITIAL",(1-Assumptions!$B$21)*Assumptions!$B$24*Assumptions!$B$22,IF(B45="RECON",Assumptions!$B$22,0)))</f>
        <v>0.2</v>
      </c>
      <c r="P45" s="17">
        <f>IF(C45&lt;&gt;"OK","",IF(B45="INITIAL",(1-Assumptions!$B$21)*Assumptions!$B$24*(1-Assumptions!$B$22)*Assumptions!$B$25,IF(B45="RECON",(1-Assumptions!$B$22)*Assumptions!$B$25,1)))</f>
        <v>0.72000000000000008</v>
      </c>
      <c r="Q45" s="17">
        <f>IF(C45&lt;&gt;"OK","",IF(B45="INITIAL",(1-Assumptions!$B$21)*(1-Assumptions!$B$24),0))</f>
        <v>0</v>
      </c>
      <c r="R45" s="17">
        <f>IF(C45&lt;&gt;"OK","",IF(B45="INITIAL",(1-Assumptions!$B$21)*Assumptions!$B$24*(1-Assumptions!$B$22)*(1-Assumptions!$B$25),IF(B45="RECON",(1-Assumptions!$B$22)*(1-Assumptions!$B$25),0)))</f>
        <v>7.9999999999999988E-2</v>
      </c>
      <c r="S45" s="17">
        <f>IF(C45&lt;&gt;"OK","",P45*Assumptions!$B$23)</f>
        <v>0.39600000000000007</v>
      </c>
      <c r="T45" s="17">
        <f>IF(C45&lt;&gt;"OK","",P45*(1-Assumptions!$B$23))</f>
        <v>0.32400000000000001</v>
      </c>
      <c r="U45" s="18">
        <f t="shared" si="3"/>
        <v>1.0000000000000002</v>
      </c>
      <c r="V45" s="15" t="str">
        <f>IF(C45&lt;&gt;"OK","",IF(B45="INITIAL",EDATE(I45,Assumptions!$B$14),""))</f>
        <v/>
      </c>
      <c r="W45" s="15">
        <f>IF(C45&lt;&gt;"OK","",IF(B45="HEARING","",EDATE(J45,Assumptions!$B$14)))</f>
        <v>46417</v>
      </c>
      <c r="X45" s="15">
        <f>IF(C45&lt;&gt;"OK","",EDATE(M45,Assumptions!$B$16))</f>
        <v>46751</v>
      </c>
    </row>
    <row r="46" spans="1:24" ht="22" customHeight="1">
      <c r="A46" s="11" t="str">
        <f>IF('Case inputs'!A46="","",'Case inputs'!A46)</f>
        <v>R-016</v>
      </c>
      <c r="B46" s="11" t="str">
        <f>IF(A46="","",'Case inputs'!C46)</f>
        <v>RECON</v>
      </c>
      <c r="C46" s="11" t="str">
        <f>IF('Case inputs'!I46="","",IF(Assumptions!$B$38&lt;&gt;"OK","ASSUMPTIONS INVALID",'Case inputs'!I46))</f>
        <v>OK</v>
      </c>
      <c r="D46" s="11">
        <f>IF(C46&lt;&gt;"OK","",VLOOKUP('Case inputs'!E46,Benchmarks!$A$6:$C$164,3,FALSE))</f>
        <v>8</v>
      </c>
      <c r="E46" s="11">
        <f>IF(C46&lt;&gt;"OK","",Assumptions!$B$5-'Case inputs'!D46)</f>
        <v>122</v>
      </c>
      <c r="F46" s="15">
        <f>IF(C46&lt;&gt;"OK","",IF(B46="INITIAL",'Case inputs'!D46+Assumptions!$B$10,IF(B46="RECON",'Case inputs'!D46+Assumptions!$B$11,EDATE('Case inputs'!D46,INT(D46))+ROUND(MOD(D46,1)*30.44,0))))</f>
        <v>46386</v>
      </c>
      <c r="G46" s="11" t="str">
        <f>IF(C46&lt;&gt;"OK","",IF(AND(B46="HEARING",'Case inputs'!F46&lt;&gt;"",'Case inputs'!F46&gt;=Assumptions!$B$5),"SCHEDULED",IF('Case inputs'!G46&lt;&gt;"","REVIEWED OVERRIDE",IF(F46&lt;Assumptions!$B$5,"OVERDUE: FUTURE WINDOW","BENCHMARK SCENARIO"))))</f>
        <v>BENCHMARK SCENARIO</v>
      </c>
      <c r="H46" s="15">
        <f>IF(C46&lt;&gt;"OK","",IF(G46="SCHEDULED",'Case inputs'!F46,IF('Case inputs'!G46&lt;&gt;"",'Case inputs'!G46,IF(F46&lt;Assumptions!$B$5,EDATE(Assumptions!$B$5,Assumptions!$B$17),F46))))</f>
        <v>46386</v>
      </c>
      <c r="I46" s="16" t="str">
        <f t="shared" si="2"/>
        <v/>
      </c>
      <c r="J46" s="15">
        <f>IF(C46&lt;&gt;"OK","",IF(B46="INITIAL",EDATE(I46,Assumptions!$B$12)+Assumptions!$B$11,IF(B46="RECON",H46,"")))</f>
        <v>46386</v>
      </c>
      <c r="K46" s="15">
        <f>IF(C46&lt;&gt;"OK","",IF(B46="HEARING",'Case inputs'!D46,EDATE(J46,Assumptions!$B$13)))</f>
        <v>46417</v>
      </c>
      <c r="L46" s="15">
        <f>IF(C46&lt;&gt;"OK","",IF(G46="SCHEDULED",H46,EDATE(IF(B46="HEARING",H46,EDATE(K46,INT(D46))+ROUND(MOD(D46,1)*30.44,0)),Assumptions!$B$18)))</f>
        <v>46660</v>
      </c>
      <c r="M46" s="15">
        <f>IF(C46&lt;&gt;"OK","",EDATE(L46,Assumptions!$B$15))</f>
        <v>46690</v>
      </c>
      <c r="N46" s="17">
        <f>IF(C46&lt;&gt;"OK","",IF(B46="INITIAL",Assumptions!$B$21,0))</f>
        <v>0</v>
      </c>
      <c r="O46" s="17">
        <f>IF(C46&lt;&gt;"OK","",IF(B46="INITIAL",(1-Assumptions!$B$21)*Assumptions!$B$24*Assumptions!$B$22,IF(B46="RECON",Assumptions!$B$22,0)))</f>
        <v>0.2</v>
      </c>
      <c r="P46" s="17">
        <f>IF(C46&lt;&gt;"OK","",IF(B46="INITIAL",(1-Assumptions!$B$21)*Assumptions!$B$24*(1-Assumptions!$B$22)*Assumptions!$B$25,IF(B46="RECON",(1-Assumptions!$B$22)*Assumptions!$B$25,1)))</f>
        <v>0.72000000000000008</v>
      </c>
      <c r="Q46" s="17">
        <f>IF(C46&lt;&gt;"OK","",IF(B46="INITIAL",(1-Assumptions!$B$21)*(1-Assumptions!$B$24),0))</f>
        <v>0</v>
      </c>
      <c r="R46" s="17">
        <f>IF(C46&lt;&gt;"OK","",IF(B46="INITIAL",(1-Assumptions!$B$21)*Assumptions!$B$24*(1-Assumptions!$B$22)*(1-Assumptions!$B$25),IF(B46="RECON",(1-Assumptions!$B$22)*(1-Assumptions!$B$25),0)))</f>
        <v>7.9999999999999988E-2</v>
      </c>
      <c r="S46" s="17">
        <f>IF(C46&lt;&gt;"OK","",P46*Assumptions!$B$23)</f>
        <v>0.39600000000000007</v>
      </c>
      <c r="T46" s="17">
        <f>IF(C46&lt;&gt;"OK","",P46*(1-Assumptions!$B$23))</f>
        <v>0.32400000000000001</v>
      </c>
      <c r="U46" s="18">
        <f t="shared" si="3"/>
        <v>1.0000000000000002</v>
      </c>
      <c r="V46" s="15" t="str">
        <f>IF(C46&lt;&gt;"OK","",IF(B46="INITIAL",EDATE(I46,Assumptions!$B$14),""))</f>
        <v/>
      </c>
      <c r="W46" s="15">
        <f>IF(C46&lt;&gt;"OK","",IF(B46="HEARING","",EDATE(J46,Assumptions!$B$14)))</f>
        <v>46417</v>
      </c>
      <c r="X46" s="15">
        <f>IF(C46&lt;&gt;"OK","",EDATE(M46,Assumptions!$B$16))</f>
        <v>46751</v>
      </c>
    </row>
    <row r="47" spans="1:24" ht="22" customHeight="1">
      <c r="A47" s="11" t="str">
        <f>IF('Case inputs'!A47="","",'Case inputs'!A47)</f>
        <v>R-017</v>
      </c>
      <c r="B47" s="11" t="str">
        <f>IF(A47="","",'Case inputs'!C47)</f>
        <v>RECON</v>
      </c>
      <c r="C47" s="11" t="str">
        <f>IF('Case inputs'!I47="","",IF(Assumptions!$B$38&lt;&gt;"OK","ASSUMPTIONS INVALID",'Case inputs'!I47))</f>
        <v>OK</v>
      </c>
      <c r="D47" s="11">
        <f>IF(C47&lt;&gt;"OK","",VLOOKUP('Case inputs'!E47,Benchmarks!$A$6:$C$164,3,FALSE))</f>
        <v>8</v>
      </c>
      <c r="E47" s="11">
        <f>IF(C47&lt;&gt;"OK","",Assumptions!$B$5-'Case inputs'!D47)</f>
        <v>122</v>
      </c>
      <c r="F47" s="15">
        <f>IF(C47&lt;&gt;"OK","",IF(B47="INITIAL",'Case inputs'!D47+Assumptions!$B$10,IF(B47="RECON",'Case inputs'!D47+Assumptions!$B$11,EDATE('Case inputs'!D47,INT(D47))+ROUND(MOD(D47,1)*30.44,0))))</f>
        <v>46386</v>
      </c>
      <c r="G47" s="11" t="str">
        <f>IF(C47&lt;&gt;"OK","",IF(AND(B47="HEARING",'Case inputs'!F47&lt;&gt;"",'Case inputs'!F47&gt;=Assumptions!$B$5),"SCHEDULED",IF('Case inputs'!G47&lt;&gt;"","REVIEWED OVERRIDE",IF(F47&lt;Assumptions!$B$5,"OVERDUE: FUTURE WINDOW","BENCHMARK SCENARIO"))))</f>
        <v>BENCHMARK SCENARIO</v>
      </c>
      <c r="H47" s="15">
        <f>IF(C47&lt;&gt;"OK","",IF(G47="SCHEDULED",'Case inputs'!F47,IF('Case inputs'!G47&lt;&gt;"",'Case inputs'!G47,IF(F47&lt;Assumptions!$B$5,EDATE(Assumptions!$B$5,Assumptions!$B$17),F47))))</f>
        <v>46386</v>
      </c>
      <c r="I47" s="16" t="str">
        <f t="shared" si="2"/>
        <v/>
      </c>
      <c r="J47" s="15">
        <f>IF(C47&lt;&gt;"OK","",IF(B47="INITIAL",EDATE(I47,Assumptions!$B$12)+Assumptions!$B$11,IF(B47="RECON",H47,"")))</f>
        <v>46386</v>
      </c>
      <c r="K47" s="15">
        <f>IF(C47&lt;&gt;"OK","",IF(B47="HEARING",'Case inputs'!D47,EDATE(J47,Assumptions!$B$13)))</f>
        <v>46417</v>
      </c>
      <c r="L47" s="15">
        <f>IF(C47&lt;&gt;"OK","",IF(G47="SCHEDULED",H47,EDATE(IF(B47="HEARING",H47,EDATE(K47,INT(D47))+ROUND(MOD(D47,1)*30.44,0)),Assumptions!$B$18)))</f>
        <v>46660</v>
      </c>
      <c r="M47" s="15">
        <f>IF(C47&lt;&gt;"OK","",EDATE(L47,Assumptions!$B$15))</f>
        <v>46690</v>
      </c>
      <c r="N47" s="17">
        <f>IF(C47&lt;&gt;"OK","",IF(B47="INITIAL",Assumptions!$B$21,0))</f>
        <v>0</v>
      </c>
      <c r="O47" s="17">
        <f>IF(C47&lt;&gt;"OK","",IF(B47="INITIAL",(1-Assumptions!$B$21)*Assumptions!$B$24*Assumptions!$B$22,IF(B47="RECON",Assumptions!$B$22,0)))</f>
        <v>0.2</v>
      </c>
      <c r="P47" s="17">
        <f>IF(C47&lt;&gt;"OK","",IF(B47="INITIAL",(1-Assumptions!$B$21)*Assumptions!$B$24*(1-Assumptions!$B$22)*Assumptions!$B$25,IF(B47="RECON",(1-Assumptions!$B$22)*Assumptions!$B$25,1)))</f>
        <v>0.72000000000000008</v>
      </c>
      <c r="Q47" s="17">
        <f>IF(C47&lt;&gt;"OK","",IF(B47="INITIAL",(1-Assumptions!$B$21)*(1-Assumptions!$B$24),0))</f>
        <v>0</v>
      </c>
      <c r="R47" s="17">
        <f>IF(C47&lt;&gt;"OK","",IF(B47="INITIAL",(1-Assumptions!$B$21)*Assumptions!$B$24*(1-Assumptions!$B$22)*(1-Assumptions!$B$25),IF(B47="RECON",(1-Assumptions!$B$22)*(1-Assumptions!$B$25),0)))</f>
        <v>7.9999999999999988E-2</v>
      </c>
      <c r="S47" s="17">
        <f>IF(C47&lt;&gt;"OK","",P47*Assumptions!$B$23)</f>
        <v>0.39600000000000007</v>
      </c>
      <c r="T47" s="17">
        <f>IF(C47&lt;&gt;"OK","",P47*(1-Assumptions!$B$23))</f>
        <v>0.32400000000000001</v>
      </c>
      <c r="U47" s="18">
        <f t="shared" si="3"/>
        <v>1.0000000000000002</v>
      </c>
      <c r="V47" s="15" t="str">
        <f>IF(C47&lt;&gt;"OK","",IF(B47="INITIAL",EDATE(I47,Assumptions!$B$14),""))</f>
        <v/>
      </c>
      <c r="W47" s="15">
        <f>IF(C47&lt;&gt;"OK","",IF(B47="HEARING","",EDATE(J47,Assumptions!$B$14)))</f>
        <v>46417</v>
      </c>
      <c r="X47" s="15">
        <f>IF(C47&lt;&gt;"OK","",EDATE(M47,Assumptions!$B$16))</f>
        <v>46751</v>
      </c>
    </row>
    <row r="48" spans="1:24" ht="22" customHeight="1">
      <c r="A48" s="11" t="str">
        <f>IF('Case inputs'!A48="","",'Case inputs'!A48)</f>
        <v>R-018</v>
      </c>
      <c r="B48" s="11" t="str">
        <f>IF(A48="","",'Case inputs'!C48)</f>
        <v>RECON</v>
      </c>
      <c r="C48" s="11" t="str">
        <f>IF('Case inputs'!I48="","",IF(Assumptions!$B$38&lt;&gt;"OK","ASSUMPTIONS INVALID",'Case inputs'!I48))</f>
        <v>OK</v>
      </c>
      <c r="D48" s="11">
        <f>IF(C48&lt;&gt;"OK","",VLOOKUP('Case inputs'!E48,Benchmarks!$A$6:$C$164,3,FALSE))</f>
        <v>8</v>
      </c>
      <c r="E48" s="11">
        <f>IF(C48&lt;&gt;"OK","",Assumptions!$B$5-'Case inputs'!D48)</f>
        <v>122</v>
      </c>
      <c r="F48" s="15">
        <f>IF(C48&lt;&gt;"OK","",IF(B48="INITIAL",'Case inputs'!D48+Assumptions!$B$10,IF(B48="RECON",'Case inputs'!D48+Assumptions!$B$11,EDATE('Case inputs'!D48,INT(D48))+ROUND(MOD(D48,1)*30.44,0))))</f>
        <v>46386</v>
      </c>
      <c r="G48" s="11" t="str">
        <f>IF(C48&lt;&gt;"OK","",IF(AND(B48="HEARING",'Case inputs'!F48&lt;&gt;"",'Case inputs'!F48&gt;=Assumptions!$B$5),"SCHEDULED",IF('Case inputs'!G48&lt;&gt;"","REVIEWED OVERRIDE",IF(F48&lt;Assumptions!$B$5,"OVERDUE: FUTURE WINDOW","BENCHMARK SCENARIO"))))</f>
        <v>BENCHMARK SCENARIO</v>
      </c>
      <c r="H48" s="15">
        <f>IF(C48&lt;&gt;"OK","",IF(G48="SCHEDULED",'Case inputs'!F48,IF('Case inputs'!G48&lt;&gt;"",'Case inputs'!G48,IF(F48&lt;Assumptions!$B$5,EDATE(Assumptions!$B$5,Assumptions!$B$17),F48))))</f>
        <v>46386</v>
      </c>
      <c r="I48" s="16" t="str">
        <f t="shared" si="2"/>
        <v/>
      </c>
      <c r="J48" s="15">
        <f>IF(C48&lt;&gt;"OK","",IF(B48="INITIAL",EDATE(I48,Assumptions!$B$12)+Assumptions!$B$11,IF(B48="RECON",H48,"")))</f>
        <v>46386</v>
      </c>
      <c r="K48" s="15">
        <f>IF(C48&lt;&gt;"OK","",IF(B48="HEARING",'Case inputs'!D48,EDATE(J48,Assumptions!$B$13)))</f>
        <v>46417</v>
      </c>
      <c r="L48" s="15">
        <f>IF(C48&lt;&gt;"OK","",IF(G48="SCHEDULED",H48,EDATE(IF(B48="HEARING",H48,EDATE(K48,INT(D48))+ROUND(MOD(D48,1)*30.44,0)),Assumptions!$B$18)))</f>
        <v>46660</v>
      </c>
      <c r="M48" s="15">
        <f>IF(C48&lt;&gt;"OK","",EDATE(L48,Assumptions!$B$15))</f>
        <v>46690</v>
      </c>
      <c r="N48" s="17">
        <f>IF(C48&lt;&gt;"OK","",IF(B48="INITIAL",Assumptions!$B$21,0))</f>
        <v>0</v>
      </c>
      <c r="O48" s="17">
        <f>IF(C48&lt;&gt;"OK","",IF(B48="INITIAL",(1-Assumptions!$B$21)*Assumptions!$B$24*Assumptions!$B$22,IF(B48="RECON",Assumptions!$B$22,0)))</f>
        <v>0.2</v>
      </c>
      <c r="P48" s="17">
        <f>IF(C48&lt;&gt;"OK","",IF(B48="INITIAL",(1-Assumptions!$B$21)*Assumptions!$B$24*(1-Assumptions!$B$22)*Assumptions!$B$25,IF(B48="RECON",(1-Assumptions!$B$22)*Assumptions!$B$25,1)))</f>
        <v>0.72000000000000008</v>
      </c>
      <c r="Q48" s="17">
        <f>IF(C48&lt;&gt;"OK","",IF(B48="INITIAL",(1-Assumptions!$B$21)*(1-Assumptions!$B$24),0))</f>
        <v>0</v>
      </c>
      <c r="R48" s="17">
        <f>IF(C48&lt;&gt;"OK","",IF(B48="INITIAL",(1-Assumptions!$B$21)*Assumptions!$B$24*(1-Assumptions!$B$22)*(1-Assumptions!$B$25),IF(B48="RECON",(1-Assumptions!$B$22)*(1-Assumptions!$B$25),0)))</f>
        <v>7.9999999999999988E-2</v>
      </c>
      <c r="S48" s="17">
        <f>IF(C48&lt;&gt;"OK","",P48*Assumptions!$B$23)</f>
        <v>0.39600000000000007</v>
      </c>
      <c r="T48" s="17">
        <f>IF(C48&lt;&gt;"OK","",P48*(1-Assumptions!$B$23))</f>
        <v>0.32400000000000001</v>
      </c>
      <c r="U48" s="18">
        <f t="shared" si="3"/>
        <v>1.0000000000000002</v>
      </c>
      <c r="V48" s="15" t="str">
        <f>IF(C48&lt;&gt;"OK","",IF(B48="INITIAL",EDATE(I48,Assumptions!$B$14),""))</f>
        <v/>
      </c>
      <c r="W48" s="15">
        <f>IF(C48&lt;&gt;"OK","",IF(B48="HEARING","",EDATE(J48,Assumptions!$B$14)))</f>
        <v>46417</v>
      </c>
      <c r="X48" s="15">
        <f>IF(C48&lt;&gt;"OK","",EDATE(M48,Assumptions!$B$16))</f>
        <v>46751</v>
      </c>
    </row>
    <row r="49" spans="1:24" ht="22" customHeight="1">
      <c r="A49" s="11" t="str">
        <f>IF('Case inputs'!A49="","",'Case inputs'!A49)</f>
        <v>R-019</v>
      </c>
      <c r="B49" s="11" t="str">
        <f>IF(A49="","",'Case inputs'!C49)</f>
        <v>RECON</v>
      </c>
      <c r="C49" s="11" t="str">
        <f>IF('Case inputs'!I49="","",IF(Assumptions!$B$38&lt;&gt;"OK","ASSUMPTIONS INVALID",'Case inputs'!I49))</f>
        <v>OK</v>
      </c>
      <c r="D49" s="11">
        <f>IF(C49&lt;&gt;"OK","",VLOOKUP('Case inputs'!E49,Benchmarks!$A$6:$C$164,3,FALSE))</f>
        <v>8</v>
      </c>
      <c r="E49" s="11">
        <f>IF(C49&lt;&gt;"OK","",Assumptions!$B$5-'Case inputs'!D49)</f>
        <v>122</v>
      </c>
      <c r="F49" s="15">
        <f>IF(C49&lt;&gt;"OK","",IF(B49="INITIAL",'Case inputs'!D49+Assumptions!$B$10,IF(B49="RECON",'Case inputs'!D49+Assumptions!$B$11,EDATE('Case inputs'!D49,INT(D49))+ROUND(MOD(D49,1)*30.44,0))))</f>
        <v>46386</v>
      </c>
      <c r="G49" s="11" t="str">
        <f>IF(C49&lt;&gt;"OK","",IF(AND(B49="HEARING",'Case inputs'!F49&lt;&gt;"",'Case inputs'!F49&gt;=Assumptions!$B$5),"SCHEDULED",IF('Case inputs'!G49&lt;&gt;"","REVIEWED OVERRIDE",IF(F49&lt;Assumptions!$B$5,"OVERDUE: FUTURE WINDOW","BENCHMARK SCENARIO"))))</f>
        <v>BENCHMARK SCENARIO</v>
      </c>
      <c r="H49" s="15">
        <f>IF(C49&lt;&gt;"OK","",IF(G49="SCHEDULED",'Case inputs'!F49,IF('Case inputs'!G49&lt;&gt;"",'Case inputs'!G49,IF(F49&lt;Assumptions!$B$5,EDATE(Assumptions!$B$5,Assumptions!$B$17),F49))))</f>
        <v>46386</v>
      </c>
      <c r="I49" s="16" t="str">
        <f t="shared" si="2"/>
        <v/>
      </c>
      <c r="J49" s="15">
        <f>IF(C49&lt;&gt;"OK","",IF(B49="INITIAL",EDATE(I49,Assumptions!$B$12)+Assumptions!$B$11,IF(B49="RECON",H49,"")))</f>
        <v>46386</v>
      </c>
      <c r="K49" s="15">
        <f>IF(C49&lt;&gt;"OK","",IF(B49="HEARING",'Case inputs'!D49,EDATE(J49,Assumptions!$B$13)))</f>
        <v>46417</v>
      </c>
      <c r="L49" s="15">
        <f>IF(C49&lt;&gt;"OK","",IF(G49="SCHEDULED",H49,EDATE(IF(B49="HEARING",H49,EDATE(K49,INT(D49))+ROUND(MOD(D49,1)*30.44,0)),Assumptions!$B$18)))</f>
        <v>46660</v>
      </c>
      <c r="M49" s="15">
        <f>IF(C49&lt;&gt;"OK","",EDATE(L49,Assumptions!$B$15))</f>
        <v>46690</v>
      </c>
      <c r="N49" s="17">
        <f>IF(C49&lt;&gt;"OK","",IF(B49="INITIAL",Assumptions!$B$21,0))</f>
        <v>0</v>
      </c>
      <c r="O49" s="17">
        <f>IF(C49&lt;&gt;"OK","",IF(B49="INITIAL",(1-Assumptions!$B$21)*Assumptions!$B$24*Assumptions!$B$22,IF(B49="RECON",Assumptions!$B$22,0)))</f>
        <v>0.2</v>
      </c>
      <c r="P49" s="17">
        <f>IF(C49&lt;&gt;"OK","",IF(B49="INITIAL",(1-Assumptions!$B$21)*Assumptions!$B$24*(1-Assumptions!$B$22)*Assumptions!$B$25,IF(B49="RECON",(1-Assumptions!$B$22)*Assumptions!$B$25,1)))</f>
        <v>0.72000000000000008</v>
      </c>
      <c r="Q49" s="17">
        <f>IF(C49&lt;&gt;"OK","",IF(B49="INITIAL",(1-Assumptions!$B$21)*(1-Assumptions!$B$24),0))</f>
        <v>0</v>
      </c>
      <c r="R49" s="17">
        <f>IF(C49&lt;&gt;"OK","",IF(B49="INITIAL",(1-Assumptions!$B$21)*Assumptions!$B$24*(1-Assumptions!$B$22)*(1-Assumptions!$B$25),IF(B49="RECON",(1-Assumptions!$B$22)*(1-Assumptions!$B$25),0)))</f>
        <v>7.9999999999999988E-2</v>
      </c>
      <c r="S49" s="17">
        <f>IF(C49&lt;&gt;"OK","",P49*Assumptions!$B$23)</f>
        <v>0.39600000000000007</v>
      </c>
      <c r="T49" s="17">
        <f>IF(C49&lt;&gt;"OK","",P49*(1-Assumptions!$B$23))</f>
        <v>0.32400000000000001</v>
      </c>
      <c r="U49" s="18">
        <f t="shared" si="3"/>
        <v>1.0000000000000002</v>
      </c>
      <c r="V49" s="15" t="str">
        <f>IF(C49&lt;&gt;"OK","",IF(B49="INITIAL",EDATE(I49,Assumptions!$B$14),""))</f>
        <v/>
      </c>
      <c r="W49" s="15">
        <f>IF(C49&lt;&gt;"OK","",IF(B49="HEARING","",EDATE(J49,Assumptions!$B$14)))</f>
        <v>46417</v>
      </c>
      <c r="X49" s="15">
        <f>IF(C49&lt;&gt;"OK","",EDATE(M49,Assumptions!$B$16))</f>
        <v>46751</v>
      </c>
    </row>
    <row r="50" spans="1:24" ht="22" customHeight="1">
      <c r="A50" s="11" t="str">
        <f>IF('Case inputs'!A50="","",'Case inputs'!A50)</f>
        <v>R-020</v>
      </c>
      <c r="B50" s="11" t="str">
        <f>IF(A50="","",'Case inputs'!C50)</f>
        <v>RECON</v>
      </c>
      <c r="C50" s="11" t="str">
        <f>IF('Case inputs'!I50="","",IF(Assumptions!$B$38&lt;&gt;"OK","ASSUMPTIONS INVALID",'Case inputs'!I50))</f>
        <v>OK</v>
      </c>
      <c r="D50" s="11">
        <f>IF(C50&lt;&gt;"OK","",VLOOKUP('Case inputs'!E50,Benchmarks!$A$6:$C$164,3,FALSE))</f>
        <v>8</v>
      </c>
      <c r="E50" s="11">
        <f>IF(C50&lt;&gt;"OK","",Assumptions!$B$5-'Case inputs'!D50)</f>
        <v>122</v>
      </c>
      <c r="F50" s="15">
        <f>IF(C50&lt;&gt;"OK","",IF(B50="INITIAL",'Case inputs'!D50+Assumptions!$B$10,IF(B50="RECON",'Case inputs'!D50+Assumptions!$B$11,EDATE('Case inputs'!D50,INT(D50))+ROUND(MOD(D50,1)*30.44,0))))</f>
        <v>46386</v>
      </c>
      <c r="G50" s="11" t="str">
        <f>IF(C50&lt;&gt;"OK","",IF(AND(B50="HEARING",'Case inputs'!F50&lt;&gt;"",'Case inputs'!F50&gt;=Assumptions!$B$5),"SCHEDULED",IF('Case inputs'!G50&lt;&gt;"","REVIEWED OVERRIDE",IF(F50&lt;Assumptions!$B$5,"OVERDUE: FUTURE WINDOW","BENCHMARK SCENARIO"))))</f>
        <v>BENCHMARK SCENARIO</v>
      </c>
      <c r="H50" s="15">
        <f>IF(C50&lt;&gt;"OK","",IF(G50="SCHEDULED",'Case inputs'!F50,IF('Case inputs'!G50&lt;&gt;"",'Case inputs'!G50,IF(F50&lt;Assumptions!$B$5,EDATE(Assumptions!$B$5,Assumptions!$B$17),F50))))</f>
        <v>46386</v>
      </c>
      <c r="I50" s="16" t="str">
        <f t="shared" si="2"/>
        <v/>
      </c>
      <c r="J50" s="15">
        <f>IF(C50&lt;&gt;"OK","",IF(B50="INITIAL",EDATE(I50,Assumptions!$B$12)+Assumptions!$B$11,IF(B50="RECON",H50,"")))</f>
        <v>46386</v>
      </c>
      <c r="K50" s="15">
        <f>IF(C50&lt;&gt;"OK","",IF(B50="HEARING",'Case inputs'!D50,EDATE(J50,Assumptions!$B$13)))</f>
        <v>46417</v>
      </c>
      <c r="L50" s="15">
        <f>IF(C50&lt;&gt;"OK","",IF(G50="SCHEDULED",H50,EDATE(IF(B50="HEARING",H50,EDATE(K50,INT(D50))+ROUND(MOD(D50,1)*30.44,0)),Assumptions!$B$18)))</f>
        <v>46660</v>
      </c>
      <c r="M50" s="15">
        <f>IF(C50&lt;&gt;"OK","",EDATE(L50,Assumptions!$B$15))</f>
        <v>46690</v>
      </c>
      <c r="N50" s="17">
        <f>IF(C50&lt;&gt;"OK","",IF(B50="INITIAL",Assumptions!$B$21,0))</f>
        <v>0</v>
      </c>
      <c r="O50" s="17">
        <f>IF(C50&lt;&gt;"OK","",IF(B50="INITIAL",(1-Assumptions!$B$21)*Assumptions!$B$24*Assumptions!$B$22,IF(B50="RECON",Assumptions!$B$22,0)))</f>
        <v>0.2</v>
      </c>
      <c r="P50" s="17">
        <f>IF(C50&lt;&gt;"OK","",IF(B50="INITIAL",(1-Assumptions!$B$21)*Assumptions!$B$24*(1-Assumptions!$B$22)*Assumptions!$B$25,IF(B50="RECON",(1-Assumptions!$B$22)*Assumptions!$B$25,1)))</f>
        <v>0.72000000000000008</v>
      </c>
      <c r="Q50" s="17">
        <f>IF(C50&lt;&gt;"OK","",IF(B50="INITIAL",(1-Assumptions!$B$21)*(1-Assumptions!$B$24),0))</f>
        <v>0</v>
      </c>
      <c r="R50" s="17">
        <f>IF(C50&lt;&gt;"OK","",IF(B50="INITIAL",(1-Assumptions!$B$21)*Assumptions!$B$24*(1-Assumptions!$B$22)*(1-Assumptions!$B$25),IF(B50="RECON",(1-Assumptions!$B$22)*(1-Assumptions!$B$25),0)))</f>
        <v>7.9999999999999988E-2</v>
      </c>
      <c r="S50" s="17">
        <f>IF(C50&lt;&gt;"OK","",P50*Assumptions!$B$23)</f>
        <v>0.39600000000000007</v>
      </c>
      <c r="T50" s="17">
        <f>IF(C50&lt;&gt;"OK","",P50*(1-Assumptions!$B$23))</f>
        <v>0.32400000000000001</v>
      </c>
      <c r="U50" s="18">
        <f t="shared" si="3"/>
        <v>1.0000000000000002</v>
      </c>
      <c r="V50" s="15" t="str">
        <f>IF(C50&lt;&gt;"OK","",IF(B50="INITIAL",EDATE(I50,Assumptions!$B$14),""))</f>
        <v/>
      </c>
      <c r="W50" s="15">
        <f>IF(C50&lt;&gt;"OK","",IF(B50="HEARING","",EDATE(J50,Assumptions!$B$14)))</f>
        <v>46417</v>
      </c>
      <c r="X50" s="15">
        <f>IF(C50&lt;&gt;"OK","",EDATE(M50,Assumptions!$B$16))</f>
        <v>46751</v>
      </c>
    </row>
    <row r="51" spans="1:24" ht="22" customHeight="1">
      <c r="A51" s="11" t="str">
        <f>IF('Case inputs'!A51="","",'Case inputs'!A51)</f>
        <v>R-021</v>
      </c>
      <c r="B51" s="11" t="str">
        <f>IF(A51="","",'Case inputs'!C51)</f>
        <v>RECON</v>
      </c>
      <c r="C51" s="11" t="str">
        <f>IF('Case inputs'!I51="","",IF(Assumptions!$B$38&lt;&gt;"OK","ASSUMPTIONS INVALID",'Case inputs'!I51))</f>
        <v>OK</v>
      </c>
      <c r="D51" s="11">
        <f>IF(C51&lt;&gt;"OK","",VLOOKUP('Case inputs'!E51,Benchmarks!$A$6:$C$164,3,FALSE))</f>
        <v>8</v>
      </c>
      <c r="E51" s="11">
        <f>IF(C51&lt;&gt;"OK","",Assumptions!$B$5-'Case inputs'!D51)</f>
        <v>92</v>
      </c>
      <c r="F51" s="15">
        <f>IF(C51&lt;&gt;"OK","",IF(B51="INITIAL",'Case inputs'!D51+Assumptions!$B$10,IF(B51="RECON",'Case inputs'!D51+Assumptions!$B$11,EDATE('Case inputs'!D51,INT(D51))+ROUND(MOD(D51,1)*30.44,0))))</f>
        <v>46416</v>
      </c>
      <c r="G51" s="11" t="str">
        <f>IF(C51&lt;&gt;"OK","",IF(AND(B51="HEARING",'Case inputs'!F51&lt;&gt;"",'Case inputs'!F51&gt;=Assumptions!$B$5),"SCHEDULED",IF('Case inputs'!G51&lt;&gt;"","REVIEWED OVERRIDE",IF(F51&lt;Assumptions!$B$5,"OVERDUE: FUTURE WINDOW","BENCHMARK SCENARIO"))))</f>
        <v>BENCHMARK SCENARIO</v>
      </c>
      <c r="H51" s="15">
        <f>IF(C51&lt;&gt;"OK","",IF(G51="SCHEDULED",'Case inputs'!F51,IF('Case inputs'!G51&lt;&gt;"",'Case inputs'!G51,IF(F51&lt;Assumptions!$B$5,EDATE(Assumptions!$B$5,Assumptions!$B$17),F51))))</f>
        <v>46416</v>
      </c>
      <c r="I51" s="16" t="str">
        <f t="shared" si="2"/>
        <v/>
      </c>
      <c r="J51" s="15">
        <f>IF(C51&lt;&gt;"OK","",IF(B51="INITIAL",EDATE(I51,Assumptions!$B$12)+Assumptions!$B$11,IF(B51="RECON",H51,"")))</f>
        <v>46416</v>
      </c>
      <c r="K51" s="15">
        <f>IF(C51&lt;&gt;"OK","",IF(B51="HEARING",'Case inputs'!D51,EDATE(J51,Assumptions!$B$13)))</f>
        <v>46446</v>
      </c>
      <c r="L51" s="15">
        <f>IF(C51&lt;&gt;"OK","",IF(G51="SCHEDULED",H51,EDATE(IF(B51="HEARING",H51,EDATE(K51,INT(D51))+ROUND(MOD(D51,1)*30.44,0)),Assumptions!$B$18)))</f>
        <v>46688</v>
      </c>
      <c r="M51" s="15">
        <f>IF(C51&lt;&gt;"OK","",EDATE(L51,Assumptions!$B$15))</f>
        <v>46719</v>
      </c>
      <c r="N51" s="17">
        <f>IF(C51&lt;&gt;"OK","",IF(B51="INITIAL",Assumptions!$B$21,0))</f>
        <v>0</v>
      </c>
      <c r="O51" s="17">
        <f>IF(C51&lt;&gt;"OK","",IF(B51="INITIAL",(1-Assumptions!$B$21)*Assumptions!$B$24*Assumptions!$B$22,IF(B51="RECON",Assumptions!$B$22,0)))</f>
        <v>0.2</v>
      </c>
      <c r="P51" s="17">
        <f>IF(C51&lt;&gt;"OK","",IF(B51="INITIAL",(1-Assumptions!$B$21)*Assumptions!$B$24*(1-Assumptions!$B$22)*Assumptions!$B$25,IF(B51="RECON",(1-Assumptions!$B$22)*Assumptions!$B$25,1)))</f>
        <v>0.72000000000000008</v>
      </c>
      <c r="Q51" s="17">
        <f>IF(C51&lt;&gt;"OK","",IF(B51="INITIAL",(1-Assumptions!$B$21)*(1-Assumptions!$B$24),0))</f>
        <v>0</v>
      </c>
      <c r="R51" s="17">
        <f>IF(C51&lt;&gt;"OK","",IF(B51="INITIAL",(1-Assumptions!$B$21)*Assumptions!$B$24*(1-Assumptions!$B$22)*(1-Assumptions!$B$25),IF(B51="RECON",(1-Assumptions!$B$22)*(1-Assumptions!$B$25),0)))</f>
        <v>7.9999999999999988E-2</v>
      </c>
      <c r="S51" s="17">
        <f>IF(C51&lt;&gt;"OK","",P51*Assumptions!$B$23)</f>
        <v>0.39600000000000007</v>
      </c>
      <c r="T51" s="17">
        <f>IF(C51&lt;&gt;"OK","",P51*(1-Assumptions!$B$23))</f>
        <v>0.32400000000000001</v>
      </c>
      <c r="U51" s="18">
        <f t="shared" si="3"/>
        <v>1.0000000000000002</v>
      </c>
      <c r="V51" s="15" t="str">
        <f>IF(C51&lt;&gt;"OK","",IF(B51="INITIAL",EDATE(I51,Assumptions!$B$14),""))</f>
        <v/>
      </c>
      <c r="W51" s="15">
        <f>IF(C51&lt;&gt;"OK","",IF(B51="HEARING","",EDATE(J51,Assumptions!$B$14)))</f>
        <v>46446</v>
      </c>
      <c r="X51" s="15">
        <f>IF(C51&lt;&gt;"OK","",EDATE(M51,Assumptions!$B$16))</f>
        <v>46780</v>
      </c>
    </row>
    <row r="52" spans="1:24" ht="22" customHeight="1">
      <c r="A52" s="11" t="str">
        <f>IF('Case inputs'!A52="","",'Case inputs'!A52)</f>
        <v>R-022</v>
      </c>
      <c r="B52" s="11" t="str">
        <f>IF(A52="","",'Case inputs'!C52)</f>
        <v>RECON</v>
      </c>
      <c r="C52" s="11" t="str">
        <f>IF('Case inputs'!I52="","",IF(Assumptions!$B$38&lt;&gt;"OK","ASSUMPTIONS INVALID",'Case inputs'!I52))</f>
        <v>OK</v>
      </c>
      <c r="D52" s="11">
        <f>IF(C52&lt;&gt;"OK","",VLOOKUP('Case inputs'!E52,Benchmarks!$A$6:$C$164,3,FALSE))</f>
        <v>8</v>
      </c>
      <c r="E52" s="11">
        <f>IF(C52&lt;&gt;"OK","",Assumptions!$B$5-'Case inputs'!D52)</f>
        <v>92</v>
      </c>
      <c r="F52" s="15">
        <f>IF(C52&lt;&gt;"OK","",IF(B52="INITIAL",'Case inputs'!D52+Assumptions!$B$10,IF(B52="RECON",'Case inputs'!D52+Assumptions!$B$11,EDATE('Case inputs'!D52,INT(D52))+ROUND(MOD(D52,1)*30.44,0))))</f>
        <v>46416</v>
      </c>
      <c r="G52" s="11" t="str">
        <f>IF(C52&lt;&gt;"OK","",IF(AND(B52="HEARING",'Case inputs'!F52&lt;&gt;"",'Case inputs'!F52&gt;=Assumptions!$B$5),"SCHEDULED",IF('Case inputs'!G52&lt;&gt;"","REVIEWED OVERRIDE",IF(F52&lt;Assumptions!$B$5,"OVERDUE: FUTURE WINDOW","BENCHMARK SCENARIO"))))</f>
        <v>BENCHMARK SCENARIO</v>
      </c>
      <c r="H52" s="15">
        <f>IF(C52&lt;&gt;"OK","",IF(G52="SCHEDULED",'Case inputs'!F52,IF('Case inputs'!G52&lt;&gt;"",'Case inputs'!G52,IF(F52&lt;Assumptions!$B$5,EDATE(Assumptions!$B$5,Assumptions!$B$17),F52))))</f>
        <v>46416</v>
      </c>
      <c r="I52" s="16" t="str">
        <f t="shared" si="2"/>
        <v/>
      </c>
      <c r="J52" s="15">
        <f>IF(C52&lt;&gt;"OK","",IF(B52="INITIAL",EDATE(I52,Assumptions!$B$12)+Assumptions!$B$11,IF(B52="RECON",H52,"")))</f>
        <v>46416</v>
      </c>
      <c r="K52" s="15">
        <f>IF(C52&lt;&gt;"OK","",IF(B52="HEARING",'Case inputs'!D52,EDATE(J52,Assumptions!$B$13)))</f>
        <v>46446</v>
      </c>
      <c r="L52" s="15">
        <f>IF(C52&lt;&gt;"OK","",IF(G52="SCHEDULED",H52,EDATE(IF(B52="HEARING",H52,EDATE(K52,INT(D52))+ROUND(MOD(D52,1)*30.44,0)),Assumptions!$B$18)))</f>
        <v>46688</v>
      </c>
      <c r="M52" s="15">
        <f>IF(C52&lt;&gt;"OK","",EDATE(L52,Assumptions!$B$15))</f>
        <v>46719</v>
      </c>
      <c r="N52" s="17">
        <f>IF(C52&lt;&gt;"OK","",IF(B52="INITIAL",Assumptions!$B$21,0))</f>
        <v>0</v>
      </c>
      <c r="O52" s="17">
        <f>IF(C52&lt;&gt;"OK","",IF(B52="INITIAL",(1-Assumptions!$B$21)*Assumptions!$B$24*Assumptions!$B$22,IF(B52="RECON",Assumptions!$B$22,0)))</f>
        <v>0.2</v>
      </c>
      <c r="P52" s="17">
        <f>IF(C52&lt;&gt;"OK","",IF(B52="INITIAL",(1-Assumptions!$B$21)*Assumptions!$B$24*(1-Assumptions!$B$22)*Assumptions!$B$25,IF(B52="RECON",(1-Assumptions!$B$22)*Assumptions!$B$25,1)))</f>
        <v>0.72000000000000008</v>
      </c>
      <c r="Q52" s="17">
        <f>IF(C52&lt;&gt;"OK","",IF(B52="INITIAL",(1-Assumptions!$B$21)*(1-Assumptions!$B$24),0))</f>
        <v>0</v>
      </c>
      <c r="R52" s="17">
        <f>IF(C52&lt;&gt;"OK","",IF(B52="INITIAL",(1-Assumptions!$B$21)*Assumptions!$B$24*(1-Assumptions!$B$22)*(1-Assumptions!$B$25),IF(B52="RECON",(1-Assumptions!$B$22)*(1-Assumptions!$B$25),0)))</f>
        <v>7.9999999999999988E-2</v>
      </c>
      <c r="S52" s="17">
        <f>IF(C52&lt;&gt;"OK","",P52*Assumptions!$B$23)</f>
        <v>0.39600000000000007</v>
      </c>
      <c r="T52" s="17">
        <f>IF(C52&lt;&gt;"OK","",P52*(1-Assumptions!$B$23))</f>
        <v>0.32400000000000001</v>
      </c>
      <c r="U52" s="18">
        <f t="shared" si="3"/>
        <v>1.0000000000000002</v>
      </c>
      <c r="V52" s="15" t="str">
        <f>IF(C52&lt;&gt;"OK","",IF(B52="INITIAL",EDATE(I52,Assumptions!$B$14),""))</f>
        <v/>
      </c>
      <c r="W52" s="15">
        <f>IF(C52&lt;&gt;"OK","",IF(B52="HEARING","",EDATE(J52,Assumptions!$B$14)))</f>
        <v>46446</v>
      </c>
      <c r="X52" s="15">
        <f>IF(C52&lt;&gt;"OK","",EDATE(M52,Assumptions!$B$16))</f>
        <v>46780</v>
      </c>
    </row>
    <row r="53" spans="1:24" ht="22" customHeight="1">
      <c r="A53" s="11" t="str">
        <f>IF('Case inputs'!A53="","",'Case inputs'!A53)</f>
        <v>R-023</v>
      </c>
      <c r="B53" s="11" t="str">
        <f>IF(A53="","",'Case inputs'!C53)</f>
        <v>RECON</v>
      </c>
      <c r="C53" s="11" t="str">
        <f>IF('Case inputs'!I53="","",IF(Assumptions!$B$38&lt;&gt;"OK","ASSUMPTIONS INVALID",'Case inputs'!I53))</f>
        <v>OK</v>
      </c>
      <c r="D53" s="11">
        <f>IF(C53&lt;&gt;"OK","",VLOOKUP('Case inputs'!E53,Benchmarks!$A$6:$C$164,3,FALSE))</f>
        <v>8</v>
      </c>
      <c r="E53" s="11">
        <f>IF(C53&lt;&gt;"OK","",Assumptions!$B$5-'Case inputs'!D53)</f>
        <v>92</v>
      </c>
      <c r="F53" s="15">
        <f>IF(C53&lt;&gt;"OK","",IF(B53="INITIAL",'Case inputs'!D53+Assumptions!$B$10,IF(B53="RECON",'Case inputs'!D53+Assumptions!$B$11,EDATE('Case inputs'!D53,INT(D53))+ROUND(MOD(D53,1)*30.44,0))))</f>
        <v>46416</v>
      </c>
      <c r="G53" s="11" t="str">
        <f>IF(C53&lt;&gt;"OK","",IF(AND(B53="HEARING",'Case inputs'!F53&lt;&gt;"",'Case inputs'!F53&gt;=Assumptions!$B$5),"SCHEDULED",IF('Case inputs'!G53&lt;&gt;"","REVIEWED OVERRIDE",IF(F53&lt;Assumptions!$B$5,"OVERDUE: FUTURE WINDOW","BENCHMARK SCENARIO"))))</f>
        <v>BENCHMARK SCENARIO</v>
      </c>
      <c r="H53" s="15">
        <f>IF(C53&lt;&gt;"OK","",IF(G53="SCHEDULED",'Case inputs'!F53,IF('Case inputs'!G53&lt;&gt;"",'Case inputs'!G53,IF(F53&lt;Assumptions!$B$5,EDATE(Assumptions!$B$5,Assumptions!$B$17),F53))))</f>
        <v>46416</v>
      </c>
      <c r="I53" s="16" t="str">
        <f t="shared" si="2"/>
        <v/>
      </c>
      <c r="J53" s="15">
        <f>IF(C53&lt;&gt;"OK","",IF(B53="INITIAL",EDATE(I53,Assumptions!$B$12)+Assumptions!$B$11,IF(B53="RECON",H53,"")))</f>
        <v>46416</v>
      </c>
      <c r="K53" s="15">
        <f>IF(C53&lt;&gt;"OK","",IF(B53="HEARING",'Case inputs'!D53,EDATE(J53,Assumptions!$B$13)))</f>
        <v>46446</v>
      </c>
      <c r="L53" s="15">
        <f>IF(C53&lt;&gt;"OK","",IF(G53="SCHEDULED",H53,EDATE(IF(B53="HEARING",H53,EDATE(K53,INT(D53))+ROUND(MOD(D53,1)*30.44,0)),Assumptions!$B$18)))</f>
        <v>46688</v>
      </c>
      <c r="M53" s="15">
        <f>IF(C53&lt;&gt;"OK","",EDATE(L53,Assumptions!$B$15))</f>
        <v>46719</v>
      </c>
      <c r="N53" s="17">
        <f>IF(C53&lt;&gt;"OK","",IF(B53="INITIAL",Assumptions!$B$21,0))</f>
        <v>0</v>
      </c>
      <c r="O53" s="17">
        <f>IF(C53&lt;&gt;"OK","",IF(B53="INITIAL",(1-Assumptions!$B$21)*Assumptions!$B$24*Assumptions!$B$22,IF(B53="RECON",Assumptions!$B$22,0)))</f>
        <v>0.2</v>
      </c>
      <c r="P53" s="17">
        <f>IF(C53&lt;&gt;"OK","",IF(B53="INITIAL",(1-Assumptions!$B$21)*Assumptions!$B$24*(1-Assumptions!$B$22)*Assumptions!$B$25,IF(B53="RECON",(1-Assumptions!$B$22)*Assumptions!$B$25,1)))</f>
        <v>0.72000000000000008</v>
      </c>
      <c r="Q53" s="17">
        <f>IF(C53&lt;&gt;"OK","",IF(B53="INITIAL",(1-Assumptions!$B$21)*(1-Assumptions!$B$24),0))</f>
        <v>0</v>
      </c>
      <c r="R53" s="17">
        <f>IF(C53&lt;&gt;"OK","",IF(B53="INITIAL",(1-Assumptions!$B$21)*Assumptions!$B$24*(1-Assumptions!$B$22)*(1-Assumptions!$B$25),IF(B53="RECON",(1-Assumptions!$B$22)*(1-Assumptions!$B$25),0)))</f>
        <v>7.9999999999999988E-2</v>
      </c>
      <c r="S53" s="17">
        <f>IF(C53&lt;&gt;"OK","",P53*Assumptions!$B$23)</f>
        <v>0.39600000000000007</v>
      </c>
      <c r="T53" s="17">
        <f>IF(C53&lt;&gt;"OK","",P53*(1-Assumptions!$B$23))</f>
        <v>0.32400000000000001</v>
      </c>
      <c r="U53" s="18">
        <f t="shared" si="3"/>
        <v>1.0000000000000002</v>
      </c>
      <c r="V53" s="15" t="str">
        <f>IF(C53&lt;&gt;"OK","",IF(B53="INITIAL",EDATE(I53,Assumptions!$B$14),""))</f>
        <v/>
      </c>
      <c r="W53" s="15">
        <f>IF(C53&lt;&gt;"OK","",IF(B53="HEARING","",EDATE(J53,Assumptions!$B$14)))</f>
        <v>46446</v>
      </c>
      <c r="X53" s="15">
        <f>IF(C53&lt;&gt;"OK","",EDATE(M53,Assumptions!$B$16))</f>
        <v>46780</v>
      </c>
    </row>
    <row r="54" spans="1:24" ht="22" customHeight="1">
      <c r="A54" s="11" t="str">
        <f>IF('Case inputs'!A54="","",'Case inputs'!A54)</f>
        <v>R-024</v>
      </c>
      <c r="B54" s="11" t="str">
        <f>IF(A54="","",'Case inputs'!C54)</f>
        <v>RECON</v>
      </c>
      <c r="C54" s="11" t="str">
        <f>IF('Case inputs'!I54="","",IF(Assumptions!$B$38&lt;&gt;"OK","ASSUMPTIONS INVALID",'Case inputs'!I54))</f>
        <v>OK</v>
      </c>
      <c r="D54" s="11">
        <f>IF(C54&lt;&gt;"OK","",VLOOKUP('Case inputs'!E54,Benchmarks!$A$6:$C$164,3,FALSE))</f>
        <v>8</v>
      </c>
      <c r="E54" s="11">
        <f>IF(C54&lt;&gt;"OK","",Assumptions!$B$5-'Case inputs'!D54)</f>
        <v>92</v>
      </c>
      <c r="F54" s="15">
        <f>IF(C54&lt;&gt;"OK","",IF(B54="INITIAL",'Case inputs'!D54+Assumptions!$B$10,IF(B54="RECON",'Case inputs'!D54+Assumptions!$B$11,EDATE('Case inputs'!D54,INT(D54))+ROUND(MOD(D54,1)*30.44,0))))</f>
        <v>46416</v>
      </c>
      <c r="G54" s="11" t="str">
        <f>IF(C54&lt;&gt;"OK","",IF(AND(B54="HEARING",'Case inputs'!F54&lt;&gt;"",'Case inputs'!F54&gt;=Assumptions!$B$5),"SCHEDULED",IF('Case inputs'!G54&lt;&gt;"","REVIEWED OVERRIDE",IF(F54&lt;Assumptions!$B$5,"OVERDUE: FUTURE WINDOW","BENCHMARK SCENARIO"))))</f>
        <v>BENCHMARK SCENARIO</v>
      </c>
      <c r="H54" s="15">
        <f>IF(C54&lt;&gt;"OK","",IF(G54="SCHEDULED",'Case inputs'!F54,IF('Case inputs'!G54&lt;&gt;"",'Case inputs'!G54,IF(F54&lt;Assumptions!$B$5,EDATE(Assumptions!$B$5,Assumptions!$B$17),F54))))</f>
        <v>46416</v>
      </c>
      <c r="I54" s="16" t="str">
        <f t="shared" si="2"/>
        <v/>
      </c>
      <c r="J54" s="15">
        <f>IF(C54&lt;&gt;"OK","",IF(B54="INITIAL",EDATE(I54,Assumptions!$B$12)+Assumptions!$B$11,IF(B54="RECON",H54,"")))</f>
        <v>46416</v>
      </c>
      <c r="K54" s="15">
        <f>IF(C54&lt;&gt;"OK","",IF(B54="HEARING",'Case inputs'!D54,EDATE(J54,Assumptions!$B$13)))</f>
        <v>46446</v>
      </c>
      <c r="L54" s="15">
        <f>IF(C54&lt;&gt;"OK","",IF(G54="SCHEDULED",H54,EDATE(IF(B54="HEARING",H54,EDATE(K54,INT(D54))+ROUND(MOD(D54,1)*30.44,0)),Assumptions!$B$18)))</f>
        <v>46688</v>
      </c>
      <c r="M54" s="15">
        <f>IF(C54&lt;&gt;"OK","",EDATE(L54,Assumptions!$B$15))</f>
        <v>46719</v>
      </c>
      <c r="N54" s="17">
        <f>IF(C54&lt;&gt;"OK","",IF(B54="INITIAL",Assumptions!$B$21,0))</f>
        <v>0</v>
      </c>
      <c r="O54" s="17">
        <f>IF(C54&lt;&gt;"OK","",IF(B54="INITIAL",(1-Assumptions!$B$21)*Assumptions!$B$24*Assumptions!$B$22,IF(B54="RECON",Assumptions!$B$22,0)))</f>
        <v>0.2</v>
      </c>
      <c r="P54" s="17">
        <f>IF(C54&lt;&gt;"OK","",IF(B54="INITIAL",(1-Assumptions!$B$21)*Assumptions!$B$24*(1-Assumptions!$B$22)*Assumptions!$B$25,IF(B54="RECON",(1-Assumptions!$B$22)*Assumptions!$B$25,1)))</f>
        <v>0.72000000000000008</v>
      </c>
      <c r="Q54" s="17">
        <f>IF(C54&lt;&gt;"OK","",IF(B54="INITIAL",(1-Assumptions!$B$21)*(1-Assumptions!$B$24),0))</f>
        <v>0</v>
      </c>
      <c r="R54" s="17">
        <f>IF(C54&lt;&gt;"OK","",IF(B54="INITIAL",(1-Assumptions!$B$21)*Assumptions!$B$24*(1-Assumptions!$B$22)*(1-Assumptions!$B$25),IF(B54="RECON",(1-Assumptions!$B$22)*(1-Assumptions!$B$25),0)))</f>
        <v>7.9999999999999988E-2</v>
      </c>
      <c r="S54" s="17">
        <f>IF(C54&lt;&gt;"OK","",P54*Assumptions!$B$23)</f>
        <v>0.39600000000000007</v>
      </c>
      <c r="T54" s="17">
        <f>IF(C54&lt;&gt;"OK","",P54*(1-Assumptions!$B$23))</f>
        <v>0.32400000000000001</v>
      </c>
      <c r="U54" s="18">
        <f t="shared" si="3"/>
        <v>1.0000000000000002</v>
      </c>
      <c r="V54" s="15" t="str">
        <f>IF(C54&lt;&gt;"OK","",IF(B54="INITIAL",EDATE(I54,Assumptions!$B$14),""))</f>
        <v/>
      </c>
      <c r="W54" s="15">
        <f>IF(C54&lt;&gt;"OK","",IF(B54="HEARING","",EDATE(J54,Assumptions!$B$14)))</f>
        <v>46446</v>
      </c>
      <c r="X54" s="15">
        <f>IF(C54&lt;&gt;"OK","",EDATE(M54,Assumptions!$B$16))</f>
        <v>46780</v>
      </c>
    </row>
    <row r="55" spans="1:24" ht="22" customHeight="1">
      <c r="A55" s="11" t="str">
        <f>IF('Case inputs'!A55="","",'Case inputs'!A55)</f>
        <v>R-025</v>
      </c>
      <c r="B55" s="11" t="str">
        <f>IF(A55="","",'Case inputs'!C55)</f>
        <v>RECON</v>
      </c>
      <c r="C55" s="11" t="str">
        <f>IF('Case inputs'!I55="","",IF(Assumptions!$B$38&lt;&gt;"OK","ASSUMPTIONS INVALID",'Case inputs'!I55))</f>
        <v>OK</v>
      </c>
      <c r="D55" s="11">
        <f>IF(C55&lt;&gt;"OK","",VLOOKUP('Case inputs'!E55,Benchmarks!$A$6:$C$164,3,FALSE))</f>
        <v>8</v>
      </c>
      <c r="E55" s="11">
        <f>IF(C55&lt;&gt;"OK","",Assumptions!$B$5-'Case inputs'!D55)</f>
        <v>92</v>
      </c>
      <c r="F55" s="15">
        <f>IF(C55&lt;&gt;"OK","",IF(B55="INITIAL",'Case inputs'!D55+Assumptions!$B$10,IF(B55="RECON",'Case inputs'!D55+Assumptions!$B$11,EDATE('Case inputs'!D55,INT(D55))+ROUND(MOD(D55,1)*30.44,0))))</f>
        <v>46416</v>
      </c>
      <c r="G55" s="11" t="str">
        <f>IF(C55&lt;&gt;"OK","",IF(AND(B55="HEARING",'Case inputs'!F55&lt;&gt;"",'Case inputs'!F55&gt;=Assumptions!$B$5),"SCHEDULED",IF('Case inputs'!G55&lt;&gt;"","REVIEWED OVERRIDE",IF(F55&lt;Assumptions!$B$5,"OVERDUE: FUTURE WINDOW","BENCHMARK SCENARIO"))))</f>
        <v>BENCHMARK SCENARIO</v>
      </c>
      <c r="H55" s="15">
        <f>IF(C55&lt;&gt;"OK","",IF(G55="SCHEDULED",'Case inputs'!F55,IF('Case inputs'!G55&lt;&gt;"",'Case inputs'!G55,IF(F55&lt;Assumptions!$B$5,EDATE(Assumptions!$B$5,Assumptions!$B$17),F55))))</f>
        <v>46416</v>
      </c>
      <c r="I55" s="16" t="str">
        <f t="shared" si="2"/>
        <v/>
      </c>
      <c r="J55" s="15">
        <f>IF(C55&lt;&gt;"OK","",IF(B55="INITIAL",EDATE(I55,Assumptions!$B$12)+Assumptions!$B$11,IF(B55="RECON",H55,"")))</f>
        <v>46416</v>
      </c>
      <c r="K55" s="15">
        <f>IF(C55&lt;&gt;"OK","",IF(B55="HEARING",'Case inputs'!D55,EDATE(J55,Assumptions!$B$13)))</f>
        <v>46446</v>
      </c>
      <c r="L55" s="15">
        <f>IF(C55&lt;&gt;"OK","",IF(G55="SCHEDULED",H55,EDATE(IF(B55="HEARING",H55,EDATE(K55,INT(D55))+ROUND(MOD(D55,1)*30.44,0)),Assumptions!$B$18)))</f>
        <v>46688</v>
      </c>
      <c r="M55" s="15">
        <f>IF(C55&lt;&gt;"OK","",EDATE(L55,Assumptions!$B$15))</f>
        <v>46719</v>
      </c>
      <c r="N55" s="17">
        <f>IF(C55&lt;&gt;"OK","",IF(B55="INITIAL",Assumptions!$B$21,0))</f>
        <v>0</v>
      </c>
      <c r="O55" s="17">
        <f>IF(C55&lt;&gt;"OK","",IF(B55="INITIAL",(1-Assumptions!$B$21)*Assumptions!$B$24*Assumptions!$B$22,IF(B55="RECON",Assumptions!$B$22,0)))</f>
        <v>0.2</v>
      </c>
      <c r="P55" s="17">
        <f>IF(C55&lt;&gt;"OK","",IF(B55="INITIAL",(1-Assumptions!$B$21)*Assumptions!$B$24*(1-Assumptions!$B$22)*Assumptions!$B$25,IF(B55="RECON",(1-Assumptions!$B$22)*Assumptions!$B$25,1)))</f>
        <v>0.72000000000000008</v>
      </c>
      <c r="Q55" s="17">
        <f>IF(C55&lt;&gt;"OK","",IF(B55="INITIAL",(1-Assumptions!$B$21)*(1-Assumptions!$B$24),0))</f>
        <v>0</v>
      </c>
      <c r="R55" s="17">
        <f>IF(C55&lt;&gt;"OK","",IF(B55="INITIAL",(1-Assumptions!$B$21)*Assumptions!$B$24*(1-Assumptions!$B$22)*(1-Assumptions!$B$25),IF(B55="RECON",(1-Assumptions!$B$22)*(1-Assumptions!$B$25),0)))</f>
        <v>7.9999999999999988E-2</v>
      </c>
      <c r="S55" s="17">
        <f>IF(C55&lt;&gt;"OK","",P55*Assumptions!$B$23)</f>
        <v>0.39600000000000007</v>
      </c>
      <c r="T55" s="17">
        <f>IF(C55&lt;&gt;"OK","",P55*(1-Assumptions!$B$23))</f>
        <v>0.32400000000000001</v>
      </c>
      <c r="U55" s="18">
        <f t="shared" si="3"/>
        <v>1.0000000000000002</v>
      </c>
      <c r="V55" s="15" t="str">
        <f>IF(C55&lt;&gt;"OK","",IF(B55="INITIAL",EDATE(I55,Assumptions!$B$14),""))</f>
        <v/>
      </c>
      <c r="W55" s="15">
        <f>IF(C55&lt;&gt;"OK","",IF(B55="HEARING","",EDATE(J55,Assumptions!$B$14)))</f>
        <v>46446</v>
      </c>
      <c r="X55" s="15">
        <f>IF(C55&lt;&gt;"OK","",EDATE(M55,Assumptions!$B$16))</f>
        <v>46780</v>
      </c>
    </row>
    <row r="56" spans="1:24" ht="22" customHeight="1">
      <c r="A56" s="11" t="str">
        <f>IF('Case inputs'!A56="","",'Case inputs'!A56)</f>
        <v>A-001</v>
      </c>
      <c r="B56" s="11" t="str">
        <f>IF(A56="","",'Case inputs'!C56)</f>
        <v>HEARING</v>
      </c>
      <c r="C56" s="11" t="str">
        <f>IF('Case inputs'!I56="","",IF(Assumptions!$B$38&lt;&gt;"OK","ASSUMPTIONS INVALID",'Case inputs'!I56))</f>
        <v>OK</v>
      </c>
      <c r="D56" s="11">
        <f>IF(C56&lt;&gt;"OK","",VLOOKUP('Case inputs'!E56,Benchmarks!$A$6:$C$164,3,FALSE))</f>
        <v>8</v>
      </c>
      <c r="E56" s="11">
        <f>IF(C56&lt;&gt;"OK","",Assumptions!$B$5-'Case inputs'!D56)</f>
        <v>183</v>
      </c>
      <c r="F56" s="15">
        <f>IF(C56&lt;&gt;"OK","",IF(B56="INITIAL",'Case inputs'!D56+Assumptions!$B$10,IF(B56="RECON",'Case inputs'!D56+Assumptions!$B$11,EDATE('Case inputs'!D56,INT(D56))+ROUND(MOD(D56,1)*30.44,0))))</f>
        <v>46357</v>
      </c>
      <c r="G56" s="11" t="str">
        <f>IF(C56&lt;&gt;"OK","",IF(AND(B56="HEARING",'Case inputs'!F56&lt;&gt;"",'Case inputs'!F56&gt;=Assumptions!$B$5),"SCHEDULED",IF('Case inputs'!G56&lt;&gt;"","REVIEWED OVERRIDE",IF(F56&lt;Assumptions!$B$5,"OVERDUE: FUTURE WINDOW","BENCHMARK SCENARIO"))))</f>
        <v>BENCHMARK SCENARIO</v>
      </c>
      <c r="H56" s="15">
        <f>IF(C56&lt;&gt;"OK","",IF(G56="SCHEDULED",'Case inputs'!F56,IF('Case inputs'!G56&lt;&gt;"",'Case inputs'!G56,IF(F56&lt;Assumptions!$B$5,EDATE(Assumptions!$B$5,Assumptions!$B$17),F56))))</f>
        <v>46357</v>
      </c>
      <c r="I56" s="16" t="str">
        <f t="shared" si="2"/>
        <v/>
      </c>
      <c r="J56" s="15" t="str">
        <f>IF(C56&lt;&gt;"OK","",IF(B56="INITIAL",EDATE(I56,Assumptions!$B$12)+Assumptions!$B$11,IF(B56="RECON",H56,"")))</f>
        <v/>
      </c>
      <c r="K56" s="15">
        <f>IF(C56&lt;&gt;"OK","",IF(B56="HEARING",'Case inputs'!D56,EDATE(J56,Assumptions!$B$13)))</f>
        <v>46113</v>
      </c>
      <c r="L56" s="15">
        <f>IF(C56&lt;&gt;"OK","",IF(G56="SCHEDULED",H56,EDATE(IF(B56="HEARING",H56,EDATE(K56,INT(D56))+ROUND(MOD(D56,1)*30.44,0)),Assumptions!$B$18)))</f>
        <v>46357</v>
      </c>
      <c r="M56" s="15">
        <f>IF(C56&lt;&gt;"OK","",EDATE(L56,Assumptions!$B$15))</f>
        <v>46388</v>
      </c>
      <c r="N56" s="17">
        <f>IF(C56&lt;&gt;"OK","",IF(B56="INITIAL",Assumptions!$B$21,0))</f>
        <v>0</v>
      </c>
      <c r="O56" s="17">
        <f>IF(C56&lt;&gt;"OK","",IF(B56="INITIAL",(1-Assumptions!$B$21)*Assumptions!$B$24*Assumptions!$B$22,IF(B56="RECON",Assumptions!$B$22,0)))</f>
        <v>0</v>
      </c>
      <c r="P56" s="17">
        <f>IF(C56&lt;&gt;"OK","",IF(B56="INITIAL",(1-Assumptions!$B$21)*Assumptions!$B$24*(1-Assumptions!$B$22)*Assumptions!$B$25,IF(B56="RECON",(1-Assumptions!$B$22)*Assumptions!$B$25,1)))</f>
        <v>1</v>
      </c>
      <c r="Q56" s="17">
        <f>IF(C56&lt;&gt;"OK","",IF(B56="INITIAL",(1-Assumptions!$B$21)*(1-Assumptions!$B$24),0))</f>
        <v>0</v>
      </c>
      <c r="R56" s="17">
        <f>IF(C56&lt;&gt;"OK","",IF(B56="INITIAL",(1-Assumptions!$B$21)*Assumptions!$B$24*(1-Assumptions!$B$22)*(1-Assumptions!$B$25),IF(B56="RECON",(1-Assumptions!$B$22)*(1-Assumptions!$B$25),0)))</f>
        <v>0</v>
      </c>
      <c r="S56" s="17">
        <f>IF(C56&lt;&gt;"OK","",P56*Assumptions!$B$23)</f>
        <v>0.55000000000000004</v>
      </c>
      <c r="T56" s="17">
        <f>IF(C56&lt;&gt;"OK","",P56*(1-Assumptions!$B$23))</f>
        <v>0.44999999999999996</v>
      </c>
      <c r="U56" s="18">
        <f t="shared" si="3"/>
        <v>1</v>
      </c>
      <c r="V56" s="15" t="str">
        <f>IF(C56&lt;&gt;"OK","",IF(B56="INITIAL",EDATE(I56,Assumptions!$B$14),""))</f>
        <v/>
      </c>
      <c r="W56" s="15" t="str">
        <f>IF(C56&lt;&gt;"OK","",IF(B56="HEARING","",EDATE(J56,Assumptions!$B$14)))</f>
        <v/>
      </c>
      <c r="X56" s="15">
        <f>IF(C56&lt;&gt;"OK","",EDATE(M56,Assumptions!$B$16))</f>
        <v>46447</v>
      </c>
    </row>
    <row r="57" spans="1:24" ht="22" customHeight="1">
      <c r="A57" s="11" t="str">
        <f>IF('Case inputs'!A57="","",'Case inputs'!A57)</f>
        <v>A-002</v>
      </c>
      <c r="B57" s="11" t="str">
        <f>IF(A57="","",'Case inputs'!C57)</f>
        <v>HEARING</v>
      </c>
      <c r="C57" s="11" t="str">
        <f>IF('Case inputs'!I57="","",IF(Assumptions!$B$38&lt;&gt;"OK","ASSUMPTIONS INVALID",'Case inputs'!I57))</f>
        <v>OK</v>
      </c>
      <c r="D57" s="11">
        <f>IF(C57&lt;&gt;"OK","",VLOOKUP('Case inputs'!E57,Benchmarks!$A$6:$C$164,3,FALSE))</f>
        <v>8</v>
      </c>
      <c r="E57" s="11">
        <f>IF(C57&lt;&gt;"OK","",Assumptions!$B$5-'Case inputs'!D57)</f>
        <v>183</v>
      </c>
      <c r="F57" s="15">
        <f>IF(C57&lt;&gt;"OK","",IF(B57="INITIAL",'Case inputs'!D57+Assumptions!$B$10,IF(B57="RECON",'Case inputs'!D57+Assumptions!$B$11,EDATE('Case inputs'!D57,INT(D57))+ROUND(MOD(D57,1)*30.44,0))))</f>
        <v>46357</v>
      </c>
      <c r="G57" s="11" t="str">
        <f>IF(C57&lt;&gt;"OK","",IF(AND(B57="HEARING",'Case inputs'!F57&lt;&gt;"",'Case inputs'!F57&gt;=Assumptions!$B$5),"SCHEDULED",IF('Case inputs'!G57&lt;&gt;"","REVIEWED OVERRIDE",IF(F57&lt;Assumptions!$B$5,"OVERDUE: FUTURE WINDOW","BENCHMARK SCENARIO"))))</f>
        <v>BENCHMARK SCENARIO</v>
      </c>
      <c r="H57" s="15">
        <f>IF(C57&lt;&gt;"OK","",IF(G57="SCHEDULED",'Case inputs'!F57,IF('Case inputs'!G57&lt;&gt;"",'Case inputs'!G57,IF(F57&lt;Assumptions!$B$5,EDATE(Assumptions!$B$5,Assumptions!$B$17),F57))))</f>
        <v>46357</v>
      </c>
      <c r="I57" s="16" t="str">
        <f t="shared" si="2"/>
        <v/>
      </c>
      <c r="J57" s="15" t="str">
        <f>IF(C57&lt;&gt;"OK","",IF(B57="INITIAL",EDATE(I57,Assumptions!$B$12)+Assumptions!$B$11,IF(B57="RECON",H57,"")))</f>
        <v/>
      </c>
      <c r="K57" s="15">
        <f>IF(C57&lt;&gt;"OK","",IF(B57="HEARING",'Case inputs'!D57,EDATE(J57,Assumptions!$B$13)))</f>
        <v>46113</v>
      </c>
      <c r="L57" s="15">
        <f>IF(C57&lt;&gt;"OK","",IF(G57="SCHEDULED",H57,EDATE(IF(B57="HEARING",H57,EDATE(K57,INT(D57))+ROUND(MOD(D57,1)*30.44,0)),Assumptions!$B$18)))</f>
        <v>46357</v>
      </c>
      <c r="M57" s="15">
        <f>IF(C57&lt;&gt;"OK","",EDATE(L57,Assumptions!$B$15))</f>
        <v>46388</v>
      </c>
      <c r="N57" s="17">
        <f>IF(C57&lt;&gt;"OK","",IF(B57="INITIAL",Assumptions!$B$21,0))</f>
        <v>0</v>
      </c>
      <c r="O57" s="17">
        <f>IF(C57&lt;&gt;"OK","",IF(B57="INITIAL",(1-Assumptions!$B$21)*Assumptions!$B$24*Assumptions!$B$22,IF(B57="RECON",Assumptions!$B$22,0)))</f>
        <v>0</v>
      </c>
      <c r="P57" s="17">
        <f>IF(C57&lt;&gt;"OK","",IF(B57="INITIAL",(1-Assumptions!$B$21)*Assumptions!$B$24*(1-Assumptions!$B$22)*Assumptions!$B$25,IF(B57="RECON",(1-Assumptions!$B$22)*Assumptions!$B$25,1)))</f>
        <v>1</v>
      </c>
      <c r="Q57" s="17">
        <f>IF(C57&lt;&gt;"OK","",IF(B57="INITIAL",(1-Assumptions!$B$21)*(1-Assumptions!$B$24),0))</f>
        <v>0</v>
      </c>
      <c r="R57" s="17">
        <f>IF(C57&lt;&gt;"OK","",IF(B57="INITIAL",(1-Assumptions!$B$21)*Assumptions!$B$24*(1-Assumptions!$B$22)*(1-Assumptions!$B$25),IF(B57="RECON",(1-Assumptions!$B$22)*(1-Assumptions!$B$25),0)))</f>
        <v>0</v>
      </c>
      <c r="S57" s="17">
        <f>IF(C57&lt;&gt;"OK","",P57*Assumptions!$B$23)</f>
        <v>0.55000000000000004</v>
      </c>
      <c r="T57" s="17">
        <f>IF(C57&lt;&gt;"OK","",P57*(1-Assumptions!$B$23))</f>
        <v>0.44999999999999996</v>
      </c>
      <c r="U57" s="18">
        <f t="shared" si="3"/>
        <v>1</v>
      </c>
      <c r="V57" s="15" t="str">
        <f>IF(C57&lt;&gt;"OK","",IF(B57="INITIAL",EDATE(I57,Assumptions!$B$14),""))</f>
        <v/>
      </c>
      <c r="W57" s="15" t="str">
        <f>IF(C57&lt;&gt;"OK","",IF(B57="HEARING","",EDATE(J57,Assumptions!$B$14)))</f>
        <v/>
      </c>
      <c r="X57" s="15">
        <f>IF(C57&lt;&gt;"OK","",EDATE(M57,Assumptions!$B$16))</f>
        <v>46447</v>
      </c>
    </row>
    <row r="58" spans="1:24" ht="22" customHeight="1">
      <c r="A58" s="11" t="str">
        <f>IF('Case inputs'!A58="","",'Case inputs'!A58)</f>
        <v>A-003</v>
      </c>
      <c r="B58" s="11" t="str">
        <f>IF(A58="","",'Case inputs'!C58)</f>
        <v>HEARING</v>
      </c>
      <c r="C58" s="11" t="str">
        <f>IF('Case inputs'!I58="","",IF(Assumptions!$B$38&lt;&gt;"OK","ASSUMPTIONS INVALID",'Case inputs'!I58))</f>
        <v>OK</v>
      </c>
      <c r="D58" s="11">
        <f>IF(C58&lt;&gt;"OK","",VLOOKUP('Case inputs'!E58,Benchmarks!$A$6:$C$164,3,FALSE))</f>
        <v>8</v>
      </c>
      <c r="E58" s="11">
        <f>IF(C58&lt;&gt;"OK","",Assumptions!$B$5-'Case inputs'!D58)</f>
        <v>183</v>
      </c>
      <c r="F58" s="15">
        <f>IF(C58&lt;&gt;"OK","",IF(B58="INITIAL",'Case inputs'!D58+Assumptions!$B$10,IF(B58="RECON",'Case inputs'!D58+Assumptions!$B$11,EDATE('Case inputs'!D58,INT(D58))+ROUND(MOD(D58,1)*30.44,0))))</f>
        <v>46357</v>
      </c>
      <c r="G58" s="11" t="str">
        <f>IF(C58&lt;&gt;"OK","",IF(AND(B58="HEARING",'Case inputs'!F58&lt;&gt;"",'Case inputs'!F58&gt;=Assumptions!$B$5),"SCHEDULED",IF('Case inputs'!G58&lt;&gt;"","REVIEWED OVERRIDE",IF(F58&lt;Assumptions!$B$5,"OVERDUE: FUTURE WINDOW","BENCHMARK SCENARIO"))))</f>
        <v>BENCHMARK SCENARIO</v>
      </c>
      <c r="H58" s="15">
        <f>IF(C58&lt;&gt;"OK","",IF(G58="SCHEDULED",'Case inputs'!F58,IF('Case inputs'!G58&lt;&gt;"",'Case inputs'!G58,IF(F58&lt;Assumptions!$B$5,EDATE(Assumptions!$B$5,Assumptions!$B$17),F58))))</f>
        <v>46357</v>
      </c>
      <c r="I58" s="16" t="str">
        <f t="shared" si="2"/>
        <v/>
      </c>
      <c r="J58" s="15" t="str">
        <f>IF(C58&lt;&gt;"OK","",IF(B58="INITIAL",EDATE(I58,Assumptions!$B$12)+Assumptions!$B$11,IF(B58="RECON",H58,"")))</f>
        <v/>
      </c>
      <c r="K58" s="15">
        <f>IF(C58&lt;&gt;"OK","",IF(B58="HEARING",'Case inputs'!D58,EDATE(J58,Assumptions!$B$13)))</f>
        <v>46113</v>
      </c>
      <c r="L58" s="15">
        <f>IF(C58&lt;&gt;"OK","",IF(G58="SCHEDULED",H58,EDATE(IF(B58="HEARING",H58,EDATE(K58,INT(D58))+ROUND(MOD(D58,1)*30.44,0)),Assumptions!$B$18)))</f>
        <v>46357</v>
      </c>
      <c r="M58" s="15">
        <f>IF(C58&lt;&gt;"OK","",EDATE(L58,Assumptions!$B$15))</f>
        <v>46388</v>
      </c>
      <c r="N58" s="17">
        <f>IF(C58&lt;&gt;"OK","",IF(B58="INITIAL",Assumptions!$B$21,0))</f>
        <v>0</v>
      </c>
      <c r="O58" s="17">
        <f>IF(C58&lt;&gt;"OK","",IF(B58="INITIAL",(1-Assumptions!$B$21)*Assumptions!$B$24*Assumptions!$B$22,IF(B58="RECON",Assumptions!$B$22,0)))</f>
        <v>0</v>
      </c>
      <c r="P58" s="17">
        <f>IF(C58&lt;&gt;"OK","",IF(B58="INITIAL",(1-Assumptions!$B$21)*Assumptions!$B$24*(1-Assumptions!$B$22)*Assumptions!$B$25,IF(B58="RECON",(1-Assumptions!$B$22)*Assumptions!$B$25,1)))</f>
        <v>1</v>
      </c>
      <c r="Q58" s="17">
        <f>IF(C58&lt;&gt;"OK","",IF(B58="INITIAL",(1-Assumptions!$B$21)*(1-Assumptions!$B$24),0))</f>
        <v>0</v>
      </c>
      <c r="R58" s="17">
        <f>IF(C58&lt;&gt;"OK","",IF(B58="INITIAL",(1-Assumptions!$B$21)*Assumptions!$B$24*(1-Assumptions!$B$22)*(1-Assumptions!$B$25),IF(B58="RECON",(1-Assumptions!$B$22)*(1-Assumptions!$B$25),0)))</f>
        <v>0</v>
      </c>
      <c r="S58" s="17">
        <f>IF(C58&lt;&gt;"OK","",P58*Assumptions!$B$23)</f>
        <v>0.55000000000000004</v>
      </c>
      <c r="T58" s="17">
        <f>IF(C58&lt;&gt;"OK","",P58*(1-Assumptions!$B$23))</f>
        <v>0.44999999999999996</v>
      </c>
      <c r="U58" s="18">
        <f t="shared" si="3"/>
        <v>1</v>
      </c>
      <c r="V58" s="15" t="str">
        <f>IF(C58&lt;&gt;"OK","",IF(B58="INITIAL",EDATE(I58,Assumptions!$B$14),""))</f>
        <v/>
      </c>
      <c r="W58" s="15" t="str">
        <f>IF(C58&lt;&gt;"OK","",IF(B58="HEARING","",EDATE(J58,Assumptions!$B$14)))</f>
        <v/>
      </c>
      <c r="X58" s="15">
        <f>IF(C58&lt;&gt;"OK","",EDATE(M58,Assumptions!$B$16))</f>
        <v>46447</v>
      </c>
    </row>
    <row r="59" spans="1:24" ht="22" customHeight="1">
      <c r="A59" s="11" t="str">
        <f>IF('Case inputs'!A59="","",'Case inputs'!A59)</f>
        <v>A-004</v>
      </c>
      <c r="B59" s="11" t="str">
        <f>IF(A59="","",'Case inputs'!C59)</f>
        <v>HEARING</v>
      </c>
      <c r="C59" s="11" t="str">
        <f>IF('Case inputs'!I59="","",IF(Assumptions!$B$38&lt;&gt;"OK","ASSUMPTIONS INVALID",'Case inputs'!I59))</f>
        <v>OK</v>
      </c>
      <c r="D59" s="11">
        <f>IF(C59&lt;&gt;"OK","",VLOOKUP('Case inputs'!E59,Benchmarks!$A$6:$C$164,3,FALSE))</f>
        <v>8</v>
      </c>
      <c r="E59" s="11">
        <f>IF(C59&lt;&gt;"OK","",Assumptions!$B$5-'Case inputs'!D59)</f>
        <v>183</v>
      </c>
      <c r="F59" s="15">
        <f>IF(C59&lt;&gt;"OK","",IF(B59="INITIAL",'Case inputs'!D59+Assumptions!$B$10,IF(B59="RECON",'Case inputs'!D59+Assumptions!$B$11,EDATE('Case inputs'!D59,INT(D59))+ROUND(MOD(D59,1)*30.44,0))))</f>
        <v>46357</v>
      </c>
      <c r="G59" s="11" t="str">
        <f>IF(C59&lt;&gt;"OK","",IF(AND(B59="HEARING",'Case inputs'!F59&lt;&gt;"",'Case inputs'!F59&gt;=Assumptions!$B$5),"SCHEDULED",IF('Case inputs'!G59&lt;&gt;"","REVIEWED OVERRIDE",IF(F59&lt;Assumptions!$B$5,"OVERDUE: FUTURE WINDOW","BENCHMARK SCENARIO"))))</f>
        <v>BENCHMARK SCENARIO</v>
      </c>
      <c r="H59" s="15">
        <f>IF(C59&lt;&gt;"OK","",IF(G59="SCHEDULED",'Case inputs'!F59,IF('Case inputs'!G59&lt;&gt;"",'Case inputs'!G59,IF(F59&lt;Assumptions!$B$5,EDATE(Assumptions!$B$5,Assumptions!$B$17),F59))))</f>
        <v>46357</v>
      </c>
      <c r="I59" s="16" t="str">
        <f t="shared" si="2"/>
        <v/>
      </c>
      <c r="J59" s="15" t="str">
        <f>IF(C59&lt;&gt;"OK","",IF(B59="INITIAL",EDATE(I59,Assumptions!$B$12)+Assumptions!$B$11,IF(B59="RECON",H59,"")))</f>
        <v/>
      </c>
      <c r="K59" s="15">
        <f>IF(C59&lt;&gt;"OK","",IF(B59="HEARING",'Case inputs'!D59,EDATE(J59,Assumptions!$B$13)))</f>
        <v>46113</v>
      </c>
      <c r="L59" s="15">
        <f>IF(C59&lt;&gt;"OK","",IF(G59="SCHEDULED",H59,EDATE(IF(B59="HEARING",H59,EDATE(K59,INT(D59))+ROUND(MOD(D59,1)*30.44,0)),Assumptions!$B$18)))</f>
        <v>46357</v>
      </c>
      <c r="M59" s="15">
        <f>IF(C59&lt;&gt;"OK","",EDATE(L59,Assumptions!$B$15))</f>
        <v>46388</v>
      </c>
      <c r="N59" s="17">
        <f>IF(C59&lt;&gt;"OK","",IF(B59="INITIAL",Assumptions!$B$21,0))</f>
        <v>0</v>
      </c>
      <c r="O59" s="17">
        <f>IF(C59&lt;&gt;"OK","",IF(B59="INITIAL",(1-Assumptions!$B$21)*Assumptions!$B$24*Assumptions!$B$22,IF(B59="RECON",Assumptions!$B$22,0)))</f>
        <v>0</v>
      </c>
      <c r="P59" s="17">
        <f>IF(C59&lt;&gt;"OK","",IF(B59="INITIAL",(1-Assumptions!$B$21)*Assumptions!$B$24*(1-Assumptions!$B$22)*Assumptions!$B$25,IF(B59="RECON",(1-Assumptions!$B$22)*Assumptions!$B$25,1)))</f>
        <v>1</v>
      </c>
      <c r="Q59" s="17">
        <f>IF(C59&lt;&gt;"OK","",IF(B59="INITIAL",(1-Assumptions!$B$21)*(1-Assumptions!$B$24),0))</f>
        <v>0</v>
      </c>
      <c r="R59" s="17">
        <f>IF(C59&lt;&gt;"OK","",IF(B59="INITIAL",(1-Assumptions!$B$21)*Assumptions!$B$24*(1-Assumptions!$B$22)*(1-Assumptions!$B$25),IF(B59="RECON",(1-Assumptions!$B$22)*(1-Assumptions!$B$25),0)))</f>
        <v>0</v>
      </c>
      <c r="S59" s="17">
        <f>IF(C59&lt;&gt;"OK","",P59*Assumptions!$B$23)</f>
        <v>0.55000000000000004</v>
      </c>
      <c r="T59" s="17">
        <f>IF(C59&lt;&gt;"OK","",P59*(1-Assumptions!$B$23))</f>
        <v>0.44999999999999996</v>
      </c>
      <c r="U59" s="18">
        <f t="shared" si="3"/>
        <v>1</v>
      </c>
      <c r="V59" s="15" t="str">
        <f>IF(C59&lt;&gt;"OK","",IF(B59="INITIAL",EDATE(I59,Assumptions!$B$14),""))</f>
        <v/>
      </c>
      <c r="W59" s="15" t="str">
        <f>IF(C59&lt;&gt;"OK","",IF(B59="HEARING","",EDATE(J59,Assumptions!$B$14)))</f>
        <v/>
      </c>
      <c r="X59" s="15">
        <f>IF(C59&lt;&gt;"OK","",EDATE(M59,Assumptions!$B$16))</f>
        <v>46447</v>
      </c>
    </row>
    <row r="60" spans="1:24" ht="22" customHeight="1">
      <c r="A60" s="11" t="str">
        <f>IF('Case inputs'!A60="","",'Case inputs'!A60)</f>
        <v>A-005</v>
      </c>
      <c r="B60" s="11" t="str">
        <f>IF(A60="","",'Case inputs'!C60)</f>
        <v>HEARING</v>
      </c>
      <c r="C60" s="11" t="str">
        <f>IF('Case inputs'!I60="","",IF(Assumptions!$B$38&lt;&gt;"OK","ASSUMPTIONS INVALID",'Case inputs'!I60))</f>
        <v>OK</v>
      </c>
      <c r="D60" s="11">
        <f>IF(C60&lt;&gt;"OK","",VLOOKUP('Case inputs'!E60,Benchmarks!$A$6:$C$164,3,FALSE))</f>
        <v>8</v>
      </c>
      <c r="E60" s="11">
        <f>IF(C60&lt;&gt;"OK","",Assumptions!$B$5-'Case inputs'!D60)</f>
        <v>183</v>
      </c>
      <c r="F60" s="15">
        <f>IF(C60&lt;&gt;"OK","",IF(B60="INITIAL",'Case inputs'!D60+Assumptions!$B$10,IF(B60="RECON",'Case inputs'!D60+Assumptions!$B$11,EDATE('Case inputs'!D60,INT(D60))+ROUND(MOD(D60,1)*30.44,0))))</f>
        <v>46357</v>
      </c>
      <c r="G60" s="11" t="str">
        <f>IF(C60&lt;&gt;"OK","",IF(AND(B60="HEARING",'Case inputs'!F60&lt;&gt;"",'Case inputs'!F60&gt;=Assumptions!$B$5),"SCHEDULED",IF('Case inputs'!G60&lt;&gt;"","REVIEWED OVERRIDE",IF(F60&lt;Assumptions!$B$5,"OVERDUE: FUTURE WINDOW","BENCHMARK SCENARIO"))))</f>
        <v>BENCHMARK SCENARIO</v>
      </c>
      <c r="H60" s="15">
        <f>IF(C60&lt;&gt;"OK","",IF(G60="SCHEDULED",'Case inputs'!F60,IF('Case inputs'!G60&lt;&gt;"",'Case inputs'!G60,IF(F60&lt;Assumptions!$B$5,EDATE(Assumptions!$B$5,Assumptions!$B$17),F60))))</f>
        <v>46357</v>
      </c>
      <c r="I60" s="16" t="str">
        <f t="shared" si="2"/>
        <v/>
      </c>
      <c r="J60" s="15" t="str">
        <f>IF(C60&lt;&gt;"OK","",IF(B60="INITIAL",EDATE(I60,Assumptions!$B$12)+Assumptions!$B$11,IF(B60="RECON",H60,"")))</f>
        <v/>
      </c>
      <c r="K60" s="15">
        <f>IF(C60&lt;&gt;"OK","",IF(B60="HEARING",'Case inputs'!D60,EDATE(J60,Assumptions!$B$13)))</f>
        <v>46113</v>
      </c>
      <c r="L60" s="15">
        <f>IF(C60&lt;&gt;"OK","",IF(G60="SCHEDULED",H60,EDATE(IF(B60="HEARING",H60,EDATE(K60,INT(D60))+ROUND(MOD(D60,1)*30.44,0)),Assumptions!$B$18)))</f>
        <v>46357</v>
      </c>
      <c r="M60" s="15">
        <f>IF(C60&lt;&gt;"OK","",EDATE(L60,Assumptions!$B$15))</f>
        <v>46388</v>
      </c>
      <c r="N60" s="17">
        <f>IF(C60&lt;&gt;"OK","",IF(B60="INITIAL",Assumptions!$B$21,0))</f>
        <v>0</v>
      </c>
      <c r="O60" s="17">
        <f>IF(C60&lt;&gt;"OK","",IF(B60="INITIAL",(1-Assumptions!$B$21)*Assumptions!$B$24*Assumptions!$B$22,IF(B60="RECON",Assumptions!$B$22,0)))</f>
        <v>0</v>
      </c>
      <c r="P60" s="17">
        <f>IF(C60&lt;&gt;"OK","",IF(B60="INITIAL",(1-Assumptions!$B$21)*Assumptions!$B$24*(1-Assumptions!$B$22)*Assumptions!$B$25,IF(B60="RECON",(1-Assumptions!$B$22)*Assumptions!$B$25,1)))</f>
        <v>1</v>
      </c>
      <c r="Q60" s="17">
        <f>IF(C60&lt;&gt;"OK","",IF(B60="INITIAL",(1-Assumptions!$B$21)*(1-Assumptions!$B$24),0))</f>
        <v>0</v>
      </c>
      <c r="R60" s="17">
        <f>IF(C60&lt;&gt;"OK","",IF(B60="INITIAL",(1-Assumptions!$B$21)*Assumptions!$B$24*(1-Assumptions!$B$22)*(1-Assumptions!$B$25),IF(B60="RECON",(1-Assumptions!$B$22)*(1-Assumptions!$B$25),0)))</f>
        <v>0</v>
      </c>
      <c r="S60" s="17">
        <f>IF(C60&lt;&gt;"OK","",P60*Assumptions!$B$23)</f>
        <v>0.55000000000000004</v>
      </c>
      <c r="T60" s="17">
        <f>IF(C60&lt;&gt;"OK","",P60*(1-Assumptions!$B$23))</f>
        <v>0.44999999999999996</v>
      </c>
      <c r="U60" s="18">
        <f t="shared" si="3"/>
        <v>1</v>
      </c>
      <c r="V60" s="15" t="str">
        <f>IF(C60&lt;&gt;"OK","",IF(B60="INITIAL",EDATE(I60,Assumptions!$B$14),""))</f>
        <v/>
      </c>
      <c r="W60" s="15" t="str">
        <f>IF(C60&lt;&gt;"OK","",IF(B60="HEARING","",EDATE(J60,Assumptions!$B$14)))</f>
        <v/>
      </c>
      <c r="X60" s="15">
        <f>IF(C60&lt;&gt;"OK","",EDATE(M60,Assumptions!$B$16))</f>
        <v>46447</v>
      </c>
    </row>
    <row r="61" spans="1:24" ht="22" customHeight="1">
      <c r="A61" s="11" t="str">
        <f>IF('Case inputs'!A61="","",'Case inputs'!A61)</f>
        <v>A-006</v>
      </c>
      <c r="B61" s="11" t="str">
        <f>IF(A61="","",'Case inputs'!C61)</f>
        <v>HEARING</v>
      </c>
      <c r="C61" s="11" t="str">
        <f>IF('Case inputs'!I61="","",IF(Assumptions!$B$38&lt;&gt;"OK","ASSUMPTIONS INVALID",'Case inputs'!I61))</f>
        <v>OK</v>
      </c>
      <c r="D61" s="11">
        <f>IF(C61&lt;&gt;"OK","",VLOOKUP('Case inputs'!E61,Benchmarks!$A$6:$C$164,3,FALSE))</f>
        <v>8</v>
      </c>
      <c r="E61" s="11">
        <f>IF(C61&lt;&gt;"OK","",Assumptions!$B$5-'Case inputs'!D61)</f>
        <v>183</v>
      </c>
      <c r="F61" s="15">
        <f>IF(C61&lt;&gt;"OK","",IF(B61="INITIAL",'Case inputs'!D61+Assumptions!$B$10,IF(B61="RECON",'Case inputs'!D61+Assumptions!$B$11,EDATE('Case inputs'!D61,INT(D61))+ROUND(MOD(D61,1)*30.44,0))))</f>
        <v>46357</v>
      </c>
      <c r="G61" s="11" t="str">
        <f>IF(C61&lt;&gt;"OK","",IF(AND(B61="HEARING",'Case inputs'!F61&lt;&gt;"",'Case inputs'!F61&gt;=Assumptions!$B$5),"SCHEDULED",IF('Case inputs'!G61&lt;&gt;"","REVIEWED OVERRIDE",IF(F61&lt;Assumptions!$B$5,"OVERDUE: FUTURE WINDOW","BENCHMARK SCENARIO"))))</f>
        <v>BENCHMARK SCENARIO</v>
      </c>
      <c r="H61" s="15">
        <f>IF(C61&lt;&gt;"OK","",IF(G61="SCHEDULED",'Case inputs'!F61,IF('Case inputs'!G61&lt;&gt;"",'Case inputs'!G61,IF(F61&lt;Assumptions!$B$5,EDATE(Assumptions!$B$5,Assumptions!$B$17),F61))))</f>
        <v>46357</v>
      </c>
      <c r="I61" s="16" t="str">
        <f t="shared" si="2"/>
        <v/>
      </c>
      <c r="J61" s="15" t="str">
        <f>IF(C61&lt;&gt;"OK","",IF(B61="INITIAL",EDATE(I61,Assumptions!$B$12)+Assumptions!$B$11,IF(B61="RECON",H61,"")))</f>
        <v/>
      </c>
      <c r="K61" s="15">
        <f>IF(C61&lt;&gt;"OK","",IF(B61="HEARING",'Case inputs'!D61,EDATE(J61,Assumptions!$B$13)))</f>
        <v>46113</v>
      </c>
      <c r="L61" s="15">
        <f>IF(C61&lt;&gt;"OK","",IF(G61="SCHEDULED",H61,EDATE(IF(B61="HEARING",H61,EDATE(K61,INT(D61))+ROUND(MOD(D61,1)*30.44,0)),Assumptions!$B$18)))</f>
        <v>46357</v>
      </c>
      <c r="M61" s="15">
        <f>IF(C61&lt;&gt;"OK","",EDATE(L61,Assumptions!$B$15))</f>
        <v>46388</v>
      </c>
      <c r="N61" s="17">
        <f>IF(C61&lt;&gt;"OK","",IF(B61="INITIAL",Assumptions!$B$21,0))</f>
        <v>0</v>
      </c>
      <c r="O61" s="17">
        <f>IF(C61&lt;&gt;"OK","",IF(B61="INITIAL",(1-Assumptions!$B$21)*Assumptions!$B$24*Assumptions!$B$22,IF(B61="RECON",Assumptions!$B$22,0)))</f>
        <v>0</v>
      </c>
      <c r="P61" s="17">
        <f>IF(C61&lt;&gt;"OK","",IF(B61="INITIAL",(1-Assumptions!$B$21)*Assumptions!$B$24*(1-Assumptions!$B$22)*Assumptions!$B$25,IF(B61="RECON",(1-Assumptions!$B$22)*Assumptions!$B$25,1)))</f>
        <v>1</v>
      </c>
      <c r="Q61" s="17">
        <f>IF(C61&lt;&gt;"OK","",IF(B61="INITIAL",(1-Assumptions!$B$21)*(1-Assumptions!$B$24),0))</f>
        <v>0</v>
      </c>
      <c r="R61" s="17">
        <f>IF(C61&lt;&gt;"OK","",IF(B61="INITIAL",(1-Assumptions!$B$21)*Assumptions!$B$24*(1-Assumptions!$B$22)*(1-Assumptions!$B$25),IF(B61="RECON",(1-Assumptions!$B$22)*(1-Assumptions!$B$25),0)))</f>
        <v>0</v>
      </c>
      <c r="S61" s="17">
        <f>IF(C61&lt;&gt;"OK","",P61*Assumptions!$B$23)</f>
        <v>0.55000000000000004</v>
      </c>
      <c r="T61" s="17">
        <f>IF(C61&lt;&gt;"OK","",P61*(1-Assumptions!$B$23))</f>
        <v>0.44999999999999996</v>
      </c>
      <c r="U61" s="18">
        <f t="shared" si="3"/>
        <v>1</v>
      </c>
      <c r="V61" s="15" t="str">
        <f>IF(C61&lt;&gt;"OK","",IF(B61="INITIAL",EDATE(I61,Assumptions!$B$14),""))</f>
        <v/>
      </c>
      <c r="W61" s="15" t="str">
        <f>IF(C61&lt;&gt;"OK","",IF(B61="HEARING","",EDATE(J61,Assumptions!$B$14)))</f>
        <v/>
      </c>
      <c r="X61" s="15">
        <f>IF(C61&lt;&gt;"OK","",EDATE(M61,Assumptions!$B$16))</f>
        <v>46447</v>
      </c>
    </row>
    <row r="62" spans="1:24" ht="22" customHeight="1">
      <c r="A62" s="11" t="str">
        <f>IF('Case inputs'!A62="","",'Case inputs'!A62)</f>
        <v>A-007</v>
      </c>
      <c r="B62" s="11" t="str">
        <f>IF(A62="","",'Case inputs'!C62)</f>
        <v>HEARING</v>
      </c>
      <c r="C62" s="11" t="str">
        <f>IF('Case inputs'!I62="","",IF(Assumptions!$B$38&lt;&gt;"OK","ASSUMPTIONS INVALID",'Case inputs'!I62))</f>
        <v>OK</v>
      </c>
      <c r="D62" s="11">
        <f>IF(C62&lt;&gt;"OK","",VLOOKUP('Case inputs'!E62,Benchmarks!$A$6:$C$164,3,FALSE))</f>
        <v>8</v>
      </c>
      <c r="E62" s="11">
        <f>IF(C62&lt;&gt;"OK","",Assumptions!$B$5-'Case inputs'!D62)</f>
        <v>183</v>
      </c>
      <c r="F62" s="15">
        <f>IF(C62&lt;&gt;"OK","",IF(B62="INITIAL",'Case inputs'!D62+Assumptions!$B$10,IF(B62="RECON",'Case inputs'!D62+Assumptions!$B$11,EDATE('Case inputs'!D62,INT(D62))+ROUND(MOD(D62,1)*30.44,0))))</f>
        <v>46357</v>
      </c>
      <c r="G62" s="11" t="str">
        <f>IF(C62&lt;&gt;"OK","",IF(AND(B62="HEARING",'Case inputs'!F62&lt;&gt;"",'Case inputs'!F62&gt;=Assumptions!$B$5),"SCHEDULED",IF('Case inputs'!G62&lt;&gt;"","REVIEWED OVERRIDE",IF(F62&lt;Assumptions!$B$5,"OVERDUE: FUTURE WINDOW","BENCHMARK SCENARIO"))))</f>
        <v>BENCHMARK SCENARIO</v>
      </c>
      <c r="H62" s="15">
        <f>IF(C62&lt;&gt;"OK","",IF(G62="SCHEDULED",'Case inputs'!F62,IF('Case inputs'!G62&lt;&gt;"",'Case inputs'!G62,IF(F62&lt;Assumptions!$B$5,EDATE(Assumptions!$B$5,Assumptions!$B$17),F62))))</f>
        <v>46357</v>
      </c>
      <c r="I62" s="16" t="str">
        <f t="shared" si="2"/>
        <v/>
      </c>
      <c r="J62" s="15" t="str">
        <f>IF(C62&lt;&gt;"OK","",IF(B62="INITIAL",EDATE(I62,Assumptions!$B$12)+Assumptions!$B$11,IF(B62="RECON",H62,"")))</f>
        <v/>
      </c>
      <c r="K62" s="15">
        <f>IF(C62&lt;&gt;"OK","",IF(B62="HEARING",'Case inputs'!D62,EDATE(J62,Assumptions!$B$13)))</f>
        <v>46113</v>
      </c>
      <c r="L62" s="15">
        <f>IF(C62&lt;&gt;"OK","",IF(G62="SCHEDULED",H62,EDATE(IF(B62="HEARING",H62,EDATE(K62,INT(D62))+ROUND(MOD(D62,1)*30.44,0)),Assumptions!$B$18)))</f>
        <v>46357</v>
      </c>
      <c r="M62" s="15">
        <f>IF(C62&lt;&gt;"OK","",EDATE(L62,Assumptions!$B$15))</f>
        <v>46388</v>
      </c>
      <c r="N62" s="17">
        <f>IF(C62&lt;&gt;"OK","",IF(B62="INITIAL",Assumptions!$B$21,0))</f>
        <v>0</v>
      </c>
      <c r="O62" s="17">
        <f>IF(C62&lt;&gt;"OK","",IF(B62="INITIAL",(1-Assumptions!$B$21)*Assumptions!$B$24*Assumptions!$B$22,IF(B62="RECON",Assumptions!$B$22,0)))</f>
        <v>0</v>
      </c>
      <c r="P62" s="17">
        <f>IF(C62&lt;&gt;"OK","",IF(B62="INITIAL",(1-Assumptions!$B$21)*Assumptions!$B$24*(1-Assumptions!$B$22)*Assumptions!$B$25,IF(B62="RECON",(1-Assumptions!$B$22)*Assumptions!$B$25,1)))</f>
        <v>1</v>
      </c>
      <c r="Q62" s="17">
        <f>IF(C62&lt;&gt;"OK","",IF(B62="INITIAL",(1-Assumptions!$B$21)*(1-Assumptions!$B$24),0))</f>
        <v>0</v>
      </c>
      <c r="R62" s="17">
        <f>IF(C62&lt;&gt;"OK","",IF(B62="INITIAL",(1-Assumptions!$B$21)*Assumptions!$B$24*(1-Assumptions!$B$22)*(1-Assumptions!$B$25),IF(B62="RECON",(1-Assumptions!$B$22)*(1-Assumptions!$B$25),0)))</f>
        <v>0</v>
      </c>
      <c r="S62" s="17">
        <f>IF(C62&lt;&gt;"OK","",P62*Assumptions!$B$23)</f>
        <v>0.55000000000000004</v>
      </c>
      <c r="T62" s="17">
        <f>IF(C62&lt;&gt;"OK","",P62*(1-Assumptions!$B$23))</f>
        <v>0.44999999999999996</v>
      </c>
      <c r="U62" s="18">
        <f t="shared" si="3"/>
        <v>1</v>
      </c>
      <c r="V62" s="15" t="str">
        <f>IF(C62&lt;&gt;"OK","",IF(B62="INITIAL",EDATE(I62,Assumptions!$B$14),""))</f>
        <v/>
      </c>
      <c r="W62" s="15" t="str">
        <f>IF(C62&lt;&gt;"OK","",IF(B62="HEARING","",EDATE(J62,Assumptions!$B$14)))</f>
        <v/>
      </c>
      <c r="X62" s="15">
        <f>IF(C62&lt;&gt;"OK","",EDATE(M62,Assumptions!$B$16))</f>
        <v>46447</v>
      </c>
    </row>
    <row r="63" spans="1:24" ht="22" customHeight="1">
      <c r="A63" s="11" t="str">
        <f>IF('Case inputs'!A63="","",'Case inputs'!A63)</f>
        <v>A-008</v>
      </c>
      <c r="B63" s="11" t="str">
        <f>IF(A63="","",'Case inputs'!C63)</f>
        <v>HEARING</v>
      </c>
      <c r="C63" s="11" t="str">
        <f>IF('Case inputs'!I63="","",IF(Assumptions!$B$38&lt;&gt;"OK","ASSUMPTIONS INVALID",'Case inputs'!I63))</f>
        <v>OK</v>
      </c>
      <c r="D63" s="11">
        <f>IF(C63&lt;&gt;"OK","",VLOOKUP('Case inputs'!E63,Benchmarks!$A$6:$C$164,3,FALSE))</f>
        <v>8</v>
      </c>
      <c r="E63" s="11">
        <f>IF(C63&lt;&gt;"OK","",Assumptions!$B$5-'Case inputs'!D63)</f>
        <v>183</v>
      </c>
      <c r="F63" s="15">
        <f>IF(C63&lt;&gt;"OK","",IF(B63="INITIAL",'Case inputs'!D63+Assumptions!$B$10,IF(B63="RECON",'Case inputs'!D63+Assumptions!$B$11,EDATE('Case inputs'!D63,INT(D63))+ROUND(MOD(D63,1)*30.44,0))))</f>
        <v>46357</v>
      </c>
      <c r="G63" s="11" t="str">
        <f>IF(C63&lt;&gt;"OK","",IF(AND(B63="HEARING",'Case inputs'!F63&lt;&gt;"",'Case inputs'!F63&gt;=Assumptions!$B$5),"SCHEDULED",IF('Case inputs'!G63&lt;&gt;"","REVIEWED OVERRIDE",IF(F63&lt;Assumptions!$B$5,"OVERDUE: FUTURE WINDOW","BENCHMARK SCENARIO"))))</f>
        <v>BENCHMARK SCENARIO</v>
      </c>
      <c r="H63" s="15">
        <f>IF(C63&lt;&gt;"OK","",IF(G63="SCHEDULED",'Case inputs'!F63,IF('Case inputs'!G63&lt;&gt;"",'Case inputs'!G63,IF(F63&lt;Assumptions!$B$5,EDATE(Assumptions!$B$5,Assumptions!$B$17),F63))))</f>
        <v>46357</v>
      </c>
      <c r="I63" s="16" t="str">
        <f t="shared" si="2"/>
        <v/>
      </c>
      <c r="J63" s="15" t="str">
        <f>IF(C63&lt;&gt;"OK","",IF(B63="INITIAL",EDATE(I63,Assumptions!$B$12)+Assumptions!$B$11,IF(B63="RECON",H63,"")))</f>
        <v/>
      </c>
      <c r="K63" s="15">
        <f>IF(C63&lt;&gt;"OK","",IF(B63="HEARING",'Case inputs'!D63,EDATE(J63,Assumptions!$B$13)))</f>
        <v>46113</v>
      </c>
      <c r="L63" s="15">
        <f>IF(C63&lt;&gt;"OK","",IF(G63="SCHEDULED",H63,EDATE(IF(B63="HEARING",H63,EDATE(K63,INT(D63))+ROUND(MOD(D63,1)*30.44,0)),Assumptions!$B$18)))</f>
        <v>46357</v>
      </c>
      <c r="M63" s="15">
        <f>IF(C63&lt;&gt;"OK","",EDATE(L63,Assumptions!$B$15))</f>
        <v>46388</v>
      </c>
      <c r="N63" s="17">
        <f>IF(C63&lt;&gt;"OK","",IF(B63="INITIAL",Assumptions!$B$21,0))</f>
        <v>0</v>
      </c>
      <c r="O63" s="17">
        <f>IF(C63&lt;&gt;"OK","",IF(B63="INITIAL",(1-Assumptions!$B$21)*Assumptions!$B$24*Assumptions!$B$22,IF(B63="RECON",Assumptions!$B$22,0)))</f>
        <v>0</v>
      </c>
      <c r="P63" s="17">
        <f>IF(C63&lt;&gt;"OK","",IF(B63="INITIAL",(1-Assumptions!$B$21)*Assumptions!$B$24*(1-Assumptions!$B$22)*Assumptions!$B$25,IF(B63="RECON",(1-Assumptions!$B$22)*Assumptions!$B$25,1)))</f>
        <v>1</v>
      </c>
      <c r="Q63" s="17">
        <f>IF(C63&lt;&gt;"OK","",IF(B63="INITIAL",(1-Assumptions!$B$21)*(1-Assumptions!$B$24),0))</f>
        <v>0</v>
      </c>
      <c r="R63" s="17">
        <f>IF(C63&lt;&gt;"OK","",IF(B63="INITIAL",(1-Assumptions!$B$21)*Assumptions!$B$24*(1-Assumptions!$B$22)*(1-Assumptions!$B$25),IF(B63="RECON",(1-Assumptions!$B$22)*(1-Assumptions!$B$25),0)))</f>
        <v>0</v>
      </c>
      <c r="S63" s="17">
        <f>IF(C63&lt;&gt;"OK","",P63*Assumptions!$B$23)</f>
        <v>0.55000000000000004</v>
      </c>
      <c r="T63" s="17">
        <f>IF(C63&lt;&gt;"OK","",P63*(1-Assumptions!$B$23))</f>
        <v>0.44999999999999996</v>
      </c>
      <c r="U63" s="18">
        <f t="shared" si="3"/>
        <v>1</v>
      </c>
      <c r="V63" s="15" t="str">
        <f>IF(C63&lt;&gt;"OK","",IF(B63="INITIAL",EDATE(I63,Assumptions!$B$14),""))</f>
        <v/>
      </c>
      <c r="W63" s="15" t="str">
        <f>IF(C63&lt;&gt;"OK","",IF(B63="HEARING","",EDATE(J63,Assumptions!$B$14)))</f>
        <v/>
      </c>
      <c r="X63" s="15">
        <f>IF(C63&lt;&gt;"OK","",EDATE(M63,Assumptions!$B$16))</f>
        <v>46447</v>
      </c>
    </row>
    <row r="64" spans="1:24" ht="22" customHeight="1">
      <c r="A64" s="11" t="str">
        <f>IF('Case inputs'!A64="","",'Case inputs'!A64)</f>
        <v>A-009</v>
      </c>
      <c r="B64" s="11" t="str">
        <f>IF(A64="","",'Case inputs'!C64)</f>
        <v>HEARING</v>
      </c>
      <c r="C64" s="11" t="str">
        <f>IF('Case inputs'!I64="","",IF(Assumptions!$B$38&lt;&gt;"OK","ASSUMPTIONS INVALID",'Case inputs'!I64))</f>
        <v>OK</v>
      </c>
      <c r="D64" s="11">
        <f>IF(C64&lt;&gt;"OK","",VLOOKUP('Case inputs'!E64,Benchmarks!$A$6:$C$164,3,FALSE))</f>
        <v>8</v>
      </c>
      <c r="E64" s="11">
        <f>IF(C64&lt;&gt;"OK","",Assumptions!$B$5-'Case inputs'!D64)</f>
        <v>183</v>
      </c>
      <c r="F64" s="15">
        <f>IF(C64&lt;&gt;"OK","",IF(B64="INITIAL",'Case inputs'!D64+Assumptions!$B$10,IF(B64="RECON",'Case inputs'!D64+Assumptions!$B$11,EDATE('Case inputs'!D64,INT(D64))+ROUND(MOD(D64,1)*30.44,0))))</f>
        <v>46357</v>
      </c>
      <c r="G64" s="11" t="str">
        <f>IF(C64&lt;&gt;"OK","",IF(AND(B64="HEARING",'Case inputs'!F64&lt;&gt;"",'Case inputs'!F64&gt;=Assumptions!$B$5),"SCHEDULED",IF('Case inputs'!G64&lt;&gt;"","REVIEWED OVERRIDE",IF(F64&lt;Assumptions!$B$5,"OVERDUE: FUTURE WINDOW","BENCHMARK SCENARIO"))))</f>
        <v>BENCHMARK SCENARIO</v>
      </c>
      <c r="H64" s="15">
        <f>IF(C64&lt;&gt;"OK","",IF(G64="SCHEDULED",'Case inputs'!F64,IF('Case inputs'!G64&lt;&gt;"",'Case inputs'!G64,IF(F64&lt;Assumptions!$B$5,EDATE(Assumptions!$B$5,Assumptions!$B$17),F64))))</f>
        <v>46357</v>
      </c>
      <c r="I64" s="16" t="str">
        <f t="shared" si="2"/>
        <v/>
      </c>
      <c r="J64" s="15" t="str">
        <f>IF(C64&lt;&gt;"OK","",IF(B64="INITIAL",EDATE(I64,Assumptions!$B$12)+Assumptions!$B$11,IF(B64="RECON",H64,"")))</f>
        <v/>
      </c>
      <c r="K64" s="15">
        <f>IF(C64&lt;&gt;"OK","",IF(B64="HEARING",'Case inputs'!D64,EDATE(J64,Assumptions!$B$13)))</f>
        <v>46113</v>
      </c>
      <c r="L64" s="15">
        <f>IF(C64&lt;&gt;"OK","",IF(G64="SCHEDULED",H64,EDATE(IF(B64="HEARING",H64,EDATE(K64,INT(D64))+ROUND(MOD(D64,1)*30.44,0)),Assumptions!$B$18)))</f>
        <v>46357</v>
      </c>
      <c r="M64" s="15">
        <f>IF(C64&lt;&gt;"OK","",EDATE(L64,Assumptions!$B$15))</f>
        <v>46388</v>
      </c>
      <c r="N64" s="17">
        <f>IF(C64&lt;&gt;"OK","",IF(B64="INITIAL",Assumptions!$B$21,0))</f>
        <v>0</v>
      </c>
      <c r="O64" s="17">
        <f>IF(C64&lt;&gt;"OK","",IF(B64="INITIAL",(1-Assumptions!$B$21)*Assumptions!$B$24*Assumptions!$B$22,IF(B64="RECON",Assumptions!$B$22,0)))</f>
        <v>0</v>
      </c>
      <c r="P64" s="17">
        <f>IF(C64&lt;&gt;"OK","",IF(B64="INITIAL",(1-Assumptions!$B$21)*Assumptions!$B$24*(1-Assumptions!$B$22)*Assumptions!$B$25,IF(B64="RECON",(1-Assumptions!$B$22)*Assumptions!$B$25,1)))</f>
        <v>1</v>
      </c>
      <c r="Q64" s="17">
        <f>IF(C64&lt;&gt;"OK","",IF(B64="INITIAL",(1-Assumptions!$B$21)*(1-Assumptions!$B$24),0))</f>
        <v>0</v>
      </c>
      <c r="R64" s="17">
        <f>IF(C64&lt;&gt;"OK","",IF(B64="INITIAL",(1-Assumptions!$B$21)*Assumptions!$B$24*(1-Assumptions!$B$22)*(1-Assumptions!$B$25),IF(B64="RECON",(1-Assumptions!$B$22)*(1-Assumptions!$B$25),0)))</f>
        <v>0</v>
      </c>
      <c r="S64" s="17">
        <f>IF(C64&lt;&gt;"OK","",P64*Assumptions!$B$23)</f>
        <v>0.55000000000000004</v>
      </c>
      <c r="T64" s="17">
        <f>IF(C64&lt;&gt;"OK","",P64*(1-Assumptions!$B$23))</f>
        <v>0.44999999999999996</v>
      </c>
      <c r="U64" s="18">
        <f t="shared" si="3"/>
        <v>1</v>
      </c>
      <c r="V64" s="15" t="str">
        <f>IF(C64&lt;&gt;"OK","",IF(B64="INITIAL",EDATE(I64,Assumptions!$B$14),""))</f>
        <v/>
      </c>
      <c r="W64" s="15" t="str">
        <f>IF(C64&lt;&gt;"OK","",IF(B64="HEARING","",EDATE(J64,Assumptions!$B$14)))</f>
        <v/>
      </c>
      <c r="X64" s="15">
        <f>IF(C64&lt;&gt;"OK","",EDATE(M64,Assumptions!$B$16))</f>
        <v>46447</v>
      </c>
    </row>
    <row r="65" spans="1:24" ht="22" customHeight="1">
      <c r="A65" s="11" t="str">
        <f>IF('Case inputs'!A65="","",'Case inputs'!A65)</f>
        <v>A-010</v>
      </c>
      <c r="B65" s="11" t="str">
        <f>IF(A65="","",'Case inputs'!C65)</f>
        <v>HEARING</v>
      </c>
      <c r="C65" s="11" t="str">
        <f>IF('Case inputs'!I65="","",IF(Assumptions!$B$38&lt;&gt;"OK","ASSUMPTIONS INVALID",'Case inputs'!I65))</f>
        <v>OK</v>
      </c>
      <c r="D65" s="11">
        <f>IF(C65&lt;&gt;"OK","",VLOOKUP('Case inputs'!E65,Benchmarks!$A$6:$C$164,3,FALSE))</f>
        <v>8</v>
      </c>
      <c r="E65" s="11">
        <f>IF(C65&lt;&gt;"OK","",Assumptions!$B$5-'Case inputs'!D65)</f>
        <v>183</v>
      </c>
      <c r="F65" s="15">
        <f>IF(C65&lt;&gt;"OK","",IF(B65="INITIAL",'Case inputs'!D65+Assumptions!$B$10,IF(B65="RECON",'Case inputs'!D65+Assumptions!$B$11,EDATE('Case inputs'!D65,INT(D65))+ROUND(MOD(D65,1)*30.44,0))))</f>
        <v>46357</v>
      </c>
      <c r="G65" s="11" t="str">
        <f>IF(C65&lt;&gt;"OK","",IF(AND(B65="HEARING",'Case inputs'!F65&lt;&gt;"",'Case inputs'!F65&gt;=Assumptions!$B$5),"SCHEDULED",IF('Case inputs'!G65&lt;&gt;"","REVIEWED OVERRIDE",IF(F65&lt;Assumptions!$B$5,"OVERDUE: FUTURE WINDOW","BENCHMARK SCENARIO"))))</f>
        <v>BENCHMARK SCENARIO</v>
      </c>
      <c r="H65" s="15">
        <f>IF(C65&lt;&gt;"OK","",IF(G65="SCHEDULED",'Case inputs'!F65,IF('Case inputs'!G65&lt;&gt;"",'Case inputs'!G65,IF(F65&lt;Assumptions!$B$5,EDATE(Assumptions!$B$5,Assumptions!$B$17),F65))))</f>
        <v>46357</v>
      </c>
      <c r="I65" s="16" t="str">
        <f t="shared" si="2"/>
        <v/>
      </c>
      <c r="J65" s="15" t="str">
        <f>IF(C65&lt;&gt;"OK","",IF(B65="INITIAL",EDATE(I65,Assumptions!$B$12)+Assumptions!$B$11,IF(B65="RECON",H65,"")))</f>
        <v/>
      </c>
      <c r="K65" s="15">
        <f>IF(C65&lt;&gt;"OK","",IF(B65="HEARING",'Case inputs'!D65,EDATE(J65,Assumptions!$B$13)))</f>
        <v>46113</v>
      </c>
      <c r="L65" s="15">
        <f>IF(C65&lt;&gt;"OK","",IF(G65="SCHEDULED",H65,EDATE(IF(B65="HEARING",H65,EDATE(K65,INT(D65))+ROUND(MOD(D65,1)*30.44,0)),Assumptions!$B$18)))</f>
        <v>46357</v>
      </c>
      <c r="M65" s="15">
        <f>IF(C65&lt;&gt;"OK","",EDATE(L65,Assumptions!$B$15))</f>
        <v>46388</v>
      </c>
      <c r="N65" s="17">
        <f>IF(C65&lt;&gt;"OK","",IF(B65="INITIAL",Assumptions!$B$21,0))</f>
        <v>0</v>
      </c>
      <c r="O65" s="17">
        <f>IF(C65&lt;&gt;"OK","",IF(B65="INITIAL",(1-Assumptions!$B$21)*Assumptions!$B$24*Assumptions!$B$22,IF(B65="RECON",Assumptions!$B$22,0)))</f>
        <v>0</v>
      </c>
      <c r="P65" s="17">
        <f>IF(C65&lt;&gt;"OK","",IF(B65="INITIAL",(1-Assumptions!$B$21)*Assumptions!$B$24*(1-Assumptions!$B$22)*Assumptions!$B$25,IF(B65="RECON",(1-Assumptions!$B$22)*Assumptions!$B$25,1)))</f>
        <v>1</v>
      </c>
      <c r="Q65" s="17">
        <f>IF(C65&lt;&gt;"OK","",IF(B65="INITIAL",(1-Assumptions!$B$21)*(1-Assumptions!$B$24),0))</f>
        <v>0</v>
      </c>
      <c r="R65" s="17">
        <f>IF(C65&lt;&gt;"OK","",IF(B65="INITIAL",(1-Assumptions!$B$21)*Assumptions!$B$24*(1-Assumptions!$B$22)*(1-Assumptions!$B$25),IF(B65="RECON",(1-Assumptions!$B$22)*(1-Assumptions!$B$25),0)))</f>
        <v>0</v>
      </c>
      <c r="S65" s="17">
        <f>IF(C65&lt;&gt;"OK","",P65*Assumptions!$B$23)</f>
        <v>0.55000000000000004</v>
      </c>
      <c r="T65" s="17">
        <f>IF(C65&lt;&gt;"OK","",P65*(1-Assumptions!$B$23))</f>
        <v>0.44999999999999996</v>
      </c>
      <c r="U65" s="18">
        <f t="shared" si="3"/>
        <v>1</v>
      </c>
      <c r="V65" s="15" t="str">
        <f>IF(C65&lt;&gt;"OK","",IF(B65="INITIAL",EDATE(I65,Assumptions!$B$14),""))</f>
        <v/>
      </c>
      <c r="W65" s="15" t="str">
        <f>IF(C65&lt;&gt;"OK","",IF(B65="HEARING","",EDATE(J65,Assumptions!$B$14)))</f>
        <v/>
      </c>
      <c r="X65" s="15">
        <f>IF(C65&lt;&gt;"OK","",EDATE(M65,Assumptions!$B$16))</f>
        <v>46447</v>
      </c>
    </row>
    <row r="66" spans="1:24" ht="22" customHeight="1">
      <c r="A66" s="11" t="str">
        <f>IF('Case inputs'!A66="","",'Case inputs'!A66)</f>
        <v>A-011</v>
      </c>
      <c r="B66" s="11" t="str">
        <f>IF(A66="","",'Case inputs'!C66)</f>
        <v>HEARING</v>
      </c>
      <c r="C66" s="11" t="str">
        <f>IF('Case inputs'!I66="","",IF(Assumptions!$B$38&lt;&gt;"OK","ASSUMPTIONS INVALID",'Case inputs'!I66))</f>
        <v>OK</v>
      </c>
      <c r="D66" s="11">
        <f>IF(C66&lt;&gt;"OK","",VLOOKUP('Case inputs'!E66,Benchmarks!$A$6:$C$164,3,FALSE))</f>
        <v>8</v>
      </c>
      <c r="E66" s="11">
        <f>IF(C66&lt;&gt;"OK","",Assumptions!$B$5-'Case inputs'!D66)</f>
        <v>183</v>
      </c>
      <c r="F66" s="15">
        <f>IF(C66&lt;&gt;"OK","",IF(B66="INITIAL",'Case inputs'!D66+Assumptions!$B$10,IF(B66="RECON",'Case inputs'!D66+Assumptions!$B$11,EDATE('Case inputs'!D66,INT(D66))+ROUND(MOD(D66,1)*30.44,0))))</f>
        <v>46357</v>
      </c>
      <c r="G66" s="11" t="str">
        <f>IF(C66&lt;&gt;"OK","",IF(AND(B66="HEARING",'Case inputs'!F66&lt;&gt;"",'Case inputs'!F66&gt;=Assumptions!$B$5),"SCHEDULED",IF('Case inputs'!G66&lt;&gt;"","REVIEWED OVERRIDE",IF(F66&lt;Assumptions!$B$5,"OVERDUE: FUTURE WINDOW","BENCHMARK SCENARIO"))))</f>
        <v>BENCHMARK SCENARIO</v>
      </c>
      <c r="H66" s="15">
        <f>IF(C66&lt;&gt;"OK","",IF(G66="SCHEDULED",'Case inputs'!F66,IF('Case inputs'!G66&lt;&gt;"",'Case inputs'!G66,IF(F66&lt;Assumptions!$B$5,EDATE(Assumptions!$B$5,Assumptions!$B$17),F66))))</f>
        <v>46357</v>
      </c>
      <c r="I66" s="16" t="str">
        <f t="shared" si="2"/>
        <v/>
      </c>
      <c r="J66" s="15" t="str">
        <f>IF(C66&lt;&gt;"OK","",IF(B66="INITIAL",EDATE(I66,Assumptions!$B$12)+Assumptions!$B$11,IF(B66="RECON",H66,"")))</f>
        <v/>
      </c>
      <c r="K66" s="15">
        <f>IF(C66&lt;&gt;"OK","",IF(B66="HEARING",'Case inputs'!D66,EDATE(J66,Assumptions!$B$13)))</f>
        <v>46113</v>
      </c>
      <c r="L66" s="15">
        <f>IF(C66&lt;&gt;"OK","",IF(G66="SCHEDULED",H66,EDATE(IF(B66="HEARING",H66,EDATE(K66,INT(D66))+ROUND(MOD(D66,1)*30.44,0)),Assumptions!$B$18)))</f>
        <v>46357</v>
      </c>
      <c r="M66" s="15">
        <f>IF(C66&lt;&gt;"OK","",EDATE(L66,Assumptions!$B$15))</f>
        <v>46388</v>
      </c>
      <c r="N66" s="17">
        <f>IF(C66&lt;&gt;"OK","",IF(B66="INITIAL",Assumptions!$B$21,0))</f>
        <v>0</v>
      </c>
      <c r="O66" s="17">
        <f>IF(C66&lt;&gt;"OK","",IF(B66="INITIAL",(1-Assumptions!$B$21)*Assumptions!$B$24*Assumptions!$B$22,IF(B66="RECON",Assumptions!$B$22,0)))</f>
        <v>0</v>
      </c>
      <c r="P66" s="17">
        <f>IF(C66&lt;&gt;"OK","",IF(B66="INITIAL",(1-Assumptions!$B$21)*Assumptions!$B$24*(1-Assumptions!$B$22)*Assumptions!$B$25,IF(B66="RECON",(1-Assumptions!$B$22)*Assumptions!$B$25,1)))</f>
        <v>1</v>
      </c>
      <c r="Q66" s="17">
        <f>IF(C66&lt;&gt;"OK","",IF(B66="INITIAL",(1-Assumptions!$B$21)*(1-Assumptions!$B$24),0))</f>
        <v>0</v>
      </c>
      <c r="R66" s="17">
        <f>IF(C66&lt;&gt;"OK","",IF(B66="INITIAL",(1-Assumptions!$B$21)*Assumptions!$B$24*(1-Assumptions!$B$22)*(1-Assumptions!$B$25),IF(B66="RECON",(1-Assumptions!$B$22)*(1-Assumptions!$B$25),0)))</f>
        <v>0</v>
      </c>
      <c r="S66" s="17">
        <f>IF(C66&lt;&gt;"OK","",P66*Assumptions!$B$23)</f>
        <v>0.55000000000000004</v>
      </c>
      <c r="T66" s="17">
        <f>IF(C66&lt;&gt;"OK","",P66*(1-Assumptions!$B$23))</f>
        <v>0.44999999999999996</v>
      </c>
      <c r="U66" s="18">
        <f t="shared" si="3"/>
        <v>1</v>
      </c>
      <c r="V66" s="15" t="str">
        <f>IF(C66&lt;&gt;"OK","",IF(B66="INITIAL",EDATE(I66,Assumptions!$B$14),""))</f>
        <v/>
      </c>
      <c r="W66" s="15" t="str">
        <f>IF(C66&lt;&gt;"OK","",IF(B66="HEARING","",EDATE(J66,Assumptions!$B$14)))</f>
        <v/>
      </c>
      <c r="X66" s="15">
        <f>IF(C66&lt;&gt;"OK","",EDATE(M66,Assumptions!$B$16))</f>
        <v>46447</v>
      </c>
    </row>
    <row r="67" spans="1:24" ht="22" customHeight="1">
      <c r="A67" s="11" t="str">
        <f>IF('Case inputs'!A67="","",'Case inputs'!A67)</f>
        <v>A-012</v>
      </c>
      <c r="B67" s="11" t="str">
        <f>IF(A67="","",'Case inputs'!C67)</f>
        <v>HEARING</v>
      </c>
      <c r="C67" s="11" t="str">
        <f>IF('Case inputs'!I67="","",IF(Assumptions!$B$38&lt;&gt;"OK","ASSUMPTIONS INVALID",'Case inputs'!I67))</f>
        <v>OK</v>
      </c>
      <c r="D67" s="11">
        <f>IF(C67&lt;&gt;"OK","",VLOOKUP('Case inputs'!E67,Benchmarks!$A$6:$C$164,3,FALSE))</f>
        <v>8</v>
      </c>
      <c r="E67" s="11">
        <f>IF(C67&lt;&gt;"OK","",Assumptions!$B$5-'Case inputs'!D67)</f>
        <v>183</v>
      </c>
      <c r="F67" s="15">
        <f>IF(C67&lt;&gt;"OK","",IF(B67="INITIAL",'Case inputs'!D67+Assumptions!$B$10,IF(B67="RECON",'Case inputs'!D67+Assumptions!$B$11,EDATE('Case inputs'!D67,INT(D67))+ROUND(MOD(D67,1)*30.44,0))))</f>
        <v>46357</v>
      </c>
      <c r="G67" s="11" t="str">
        <f>IF(C67&lt;&gt;"OK","",IF(AND(B67="HEARING",'Case inputs'!F67&lt;&gt;"",'Case inputs'!F67&gt;=Assumptions!$B$5),"SCHEDULED",IF('Case inputs'!G67&lt;&gt;"","REVIEWED OVERRIDE",IF(F67&lt;Assumptions!$B$5,"OVERDUE: FUTURE WINDOW","BENCHMARK SCENARIO"))))</f>
        <v>BENCHMARK SCENARIO</v>
      </c>
      <c r="H67" s="15">
        <f>IF(C67&lt;&gt;"OK","",IF(G67="SCHEDULED",'Case inputs'!F67,IF('Case inputs'!G67&lt;&gt;"",'Case inputs'!G67,IF(F67&lt;Assumptions!$B$5,EDATE(Assumptions!$B$5,Assumptions!$B$17),F67))))</f>
        <v>46357</v>
      </c>
      <c r="I67" s="16" t="str">
        <f t="shared" si="2"/>
        <v/>
      </c>
      <c r="J67" s="15" t="str">
        <f>IF(C67&lt;&gt;"OK","",IF(B67="INITIAL",EDATE(I67,Assumptions!$B$12)+Assumptions!$B$11,IF(B67="RECON",H67,"")))</f>
        <v/>
      </c>
      <c r="K67" s="15">
        <f>IF(C67&lt;&gt;"OK","",IF(B67="HEARING",'Case inputs'!D67,EDATE(J67,Assumptions!$B$13)))</f>
        <v>46113</v>
      </c>
      <c r="L67" s="15">
        <f>IF(C67&lt;&gt;"OK","",IF(G67="SCHEDULED",H67,EDATE(IF(B67="HEARING",H67,EDATE(K67,INT(D67))+ROUND(MOD(D67,1)*30.44,0)),Assumptions!$B$18)))</f>
        <v>46357</v>
      </c>
      <c r="M67" s="15">
        <f>IF(C67&lt;&gt;"OK","",EDATE(L67,Assumptions!$B$15))</f>
        <v>46388</v>
      </c>
      <c r="N67" s="17">
        <f>IF(C67&lt;&gt;"OK","",IF(B67="INITIAL",Assumptions!$B$21,0))</f>
        <v>0</v>
      </c>
      <c r="O67" s="17">
        <f>IF(C67&lt;&gt;"OK","",IF(B67="INITIAL",(1-Assumptions!$B$21)*Assumptions!$B$24*Assumptions!$B$22,IF(B67="RECON",Assumptions!$B$22,0)))</f>
        <v>0</v>
      </c>
      <c r="P67" s="17">
        <f>IF(C67&lt;&gt;"OK","",IF(B67="INITIAL",(1-Assumptions!$B$21)*Assumptions!$B$24*(1-Assumptions!$B$22)*Assumptions!$B$25,IF(B67="RECON",(1-Assumptions!$B$22)*Assumptions!$B$25,1)))</f>
        <v>1</v>
      </c>
      <c r="Q67" s="17">
        <f>IF(C67&lt;&gt;"OK","",IF(B67="INITIAL",(1-Assumptions!$B$21)*(1-Assumptions!$B$24),0))</f>
        <v>0</v>
      </c>
      <c r="R67" s="17">
        <f>IF(C67&lt;&gt;"OK","",IF(B67="INITIAL",(1-Assumptions!$B$21)*Assumptions!$B$24*(1-Assumptions!$B$22)*(1-Assumptions!$B$25),IF(B67="RECON",(1-Assumptions!$B$22)*(1-Assumptions!$B$25),0)))</f>
        <v>0</v>
      </c>
      <c r="S67" s="17">
        <f>IF(C67&lt;&gt;"OK","",P67*Assumptions!$B$23)</f>
        <v>0.55000000000000004</v>
      </c>
      <c r="T67" s="17">
        <f>IF(C67&lt;&gt;"OK","",P67*(1-Assumptions!$B$23))</f>
        <v>0.44999999999999996</v>
      </c>
      <c r="U67" s="18">
        <f t="shared" si="3"/>
        <v>1</v>
      </c>
      <c r="V67" s="15" t="str">
        <f>IF(C67&lt;&gt;"OK","",IF(B67="INITIAL",EDATE(I67,Assumptions!$B$14),""))</f>
        <v/>
      </c>
      <c r="W67" s="15" t="str">
        <f>IF(C67&lt;&gt;"OK","",IF(B67="HEARING","",EDATE(J67,Assumptions!$B$14)))</f>
        <v/>
      </c>
      <c r="X67" s="15">
        <f>IF(C67&lt;&gt;"OK","",EDATE(M67,Assumptions!$B$16))</f>
        <v>46447</v>
      </c>
    </row>
    <row r="68" spans="1:24" ht="22" customHeight="1">
      <c r="A68" s="11" t="str">
        <f>IF('Case inputs'!A68="","",'Case inputs'!A68)</f>
        <v>A-013</v>
      </c>
      <c r="B68" s="11" t="str">
        <f>IF(A68="","",'Case inputs'!C68)</f>
        <v>HEARING</v>
      </c>
      <c r="C68" s="11" t="str">
        <f>IF('Case inputs'!I68="","",IF(Assumptions!$B$38&lt;&gt;"OK","ASSUMPTIONS INVALID",'Case inputs'!I68))</f>
        <v>OK</v>
      </c>
      <c r="D68" s="11">
        <f>IF(C68&lt;&gt;"OK","",VLOOKUP('Case inputs'!E68,Benchmarks!$A$6:$C$164,3,FALSE))</f>
        <v>8</v>
      </c>
      <c r="E68" s="11">
        <f>IF(C68&lt;&gt;"OK","",Assumptions!$B$5-'Case inputs'!D68)</f>
        <v>183</v>
      </c>
      <c r="F68" s="15">
        <f>IF(C68&lt;&gt;"OK","",IF(B68="INITIAL",'Case inputs'!D68+Assumptions!$B$10,IF(B68="RECON",'Case inputs'!D68+Assumptions!$B$11,EDATE('Case inputs'!D68,INT(D68))+ROUND(MOD(D68,1)*30.44,0))))</f>
        <v>46357</v>
      </c>
      <c r="G68" s="11" t="str">
        <f>IF(C68&lt;&gt;"OK","",IF(AND(B68="HEARING",'Case inputs'!F68&lt;&gt;"",'Case inputs'!F68&gt;=Assumptions!$B$5),"SCHEDULED",IF('Case inputs'!G68&lt;&gt;"","REVIEWED OVERRIDE",IF(F68&lt;Assumptions!$B$5,"OVERDUE: FUTURE WINDOW","BENCHMARK SCENARIO"))))</f>
        <v>BENCHMARK SCENARIO</v>
      </c>
      <c r="H68" s="15">
        <f>IF(C68&lt;&gt;"OK","",IF(G68="SCHEDULED",'Case inputs'!F68,IF('Case inputs'!G68&lt;&gt;"",'Case inputs'!G68,IF(F68&lt;Assumptions!$B$5,EDATE(Assumptions!$B$5,Assumptions!$B$17),F68))))</f>
        <v>46357</v>
      </c>
      <c r="I68" s="16" t="str">
        <f t="shared" si="2"/>
        <v/>
      </c>
      <c r="J68" s="15" t="str">
        <f>IF(C68&lt;&gt;"OK","",IF(B68="INITIAL",EDATE(I68,Assumptions!$B$12)+Assumptions!$B$11,IF(B68="RECON",H68,"")))</f>
        <v/>
      </c>
      <c r="K68" s="15">
        <f>IF(C68&lt;&gt;"OK","",IF(B68="HEARING",'Case inputs'!D68,EDATE(J68,Assumptions!$B$13)))</f>
        <v>46113</v>
      </c>
      <c r="L68" s="15">
        <f>IF(C68&lt;&gt;"OK","",IF(G68="SCHEDULED",H68,EDATE(IF(B68="HEARING",H68,EDATE(K68,INT(D68))+ROUND(MOD(D68,1)*30.44,0)),Assumptions!$B$18)))</f>
        <v>46357</v>
      </c>
      <c r="M68" s="15">
        <f>IF(C68&lt;&gt;"OK","",EDATE(L68,Assumptions!$B$15))</f>
        <v>46388</v>
      </c>
      <c r="N68" s="17">
        <f>IF(C68&lt;&gt;"OK","",IF(B68="INITIAL",Assumptions!$B$21,0))</f>
        <v>0</v>
      </c>
      <c r="O68" s="17">
        <f>IF(C68&lt;&gt;"OK","",IF(B68="INITIAL",(1-Assumptions!$B$21)*Assumptions!$B$24*Assumptions!$B$22,IF(B68="RECON",Assumptions!$B$22,0)))</f>
        <v>0</v>
      </c>
      <c r="P68" s="17">
        <f>IF(C68&lt;&gt;"OK","",IF(B68="INITIAL",(1-Assumptions!$B$21)*Assumptions!$B$24*(1-Assumptions!$B$22)*Assumptions!$B$25,IF(B68="RECON",(1-Assumptions!$B$22)*Assumptions!$B$25,1)))</f>
        <v>1</v>
      </c>
      <c r="Q68" s="17">
        <f>IF(C68&lt;&gt;"OK","",IF(B68="INITIAL",(1-Assumptions!$B$21)*(1-Assumptions!$B$24),0))</f>
        <v>0</v>
      </c>
      <c r="R68" s="17">
        <f>IF(C68&lt;&gt;"OK","",IF(B68="INITIAL",(1-Assumptions!$B$21)*Assumptions!$B$24*(1-Assumptions!$B$22)*(1-Assumptions!$B$25),IF(B68="RECON",(1-Assumptions!$B$22)*(1-Assumptions!$B$25),0)))</f>
        <v>0</v>
      </c>
      <c r="S68" s="17">
        <f>IF(C68&lt;&gt;"OK","",P68*Assumptions!$B$23)</f>
        <v>0.55000000000000004</v>
      </c>
      <c r="T68" s="17">
        <f>IF(C68&lt;&gt;"OK","",P68*(1-Assumptions!$B$23))</f>
        <v>0.44999999999999996</v>
      </c>
      <c r="U68" s="18">
        <f t="shared" si="3"/>
        <v>1</v>
      </c>
      <c r="V68" s="15" t="str">
        <f>IF(C68&lt;&gt;"OK","",IF(B68="INITIAL",EDATE(I68,Assumptions!$B$14),""))</f>
        <v/>
      </c>
      <c r="W68" s="15" t="str">
        <f>IF(C68&lt;&gt;"OK","",IF(B68="HEARING","",EDATE(J68,Assumptions!$B$14)))</f>
        <v/>
      </c>
      <c r="X68" s="15">
        <f>IF(C68&lt;&gt;"OK","",EDATE(M68,Assumptions!$B$16))</f>
        <v>46447</v>
      </c>
    </row>
    <row r="69" spans="1:24" ht="22" customHeight="1">
      <c r="A69" s="11" t="str">
        <f>IF('Case inputs'!A69="","",'Case inputs'!A69)</f>
        <v>A-014</v>
      </c>
      <c r="B69" s="11" t="str">
        <f>IF(A69="","",'Case inputs'!C69)</f>
        <v>HEARING</v>
      </c>
      <c r="C69" s="11" t="str">
        <f>IF('Case inputs'!I69="","",IF(Assumptions!$B$38&lt;&gt;"OK","ASSUMPTIONS INVALID",'Case inputs'!I69))</f>
        <v>OK</v>
      </c>
      <c r="D69" s="11">
        <f>IF(C69&lt;&gt;"OK","",VLOOKUP('Case inputs'!E69,Benchmarks!$A$6:$C$164,3,FALSE))</f>
        <v>8</v>
      </c>
      <c r="E69" s="11">
        <f>IF(C69&lt;&gt;"OK","",Assumptions!$B$5-'Case inputs'!D69)</f>
        <v>183</v>
      </c>
      <c r="F69" s="15">
        <f>IF(C69&lt;&gt;"OK","",IF(B69="INITIAL",'Case inputs'!D69+Assumptions!$B$10,IF(B69="RECON",'Case inputs'!D69+Assumptions!$B$11,EDATE('Case inputs'!D69,INT(D69))+ROUND(MOD(D69,1)*30.44,0))))</f>
        <v>46357</v>
      </c>
      <c r="G69" s="11" t="str">
        <f>IF(C69&lt;&gt;"OK","",IF(AND(B69="HEARING",'Case inputs'!F69&lt;&gt;"",'Case inputs'!F69&gt;=Assumptions!$B$5),"SCHEDULED",IF('Case inputs'!G69&lt;&gt;"","REVIEWED OVERRIDE",IF(F69&lt;Assumptions!$B$5,"OVERDUE: FUTURE WINDOW","BENCHMARK SCENARIO"))))</f>
        <v>BENCHMARK SCENARIO</v>
      </c>
      <c r="H69" s="15">
        <f>IF(C69&lt;&gt;"OK","",IF(G69="SCHEDULED",'Case inputs'!F69,IF('Case inputs'!G69&lt;&gt;"",'Case inputs'!G69,IF(F69&lt;Assumptions!$B$5,EDATE(Assumptions!$B$5,Assumptions!$B$17),F69))))</f>
        <v>46357</v>
      </c>
      <c r="I69" s="16" t="str">
        <f t="shared" si="2"/>
        <v/>
      </c>
      <c r="J69" s="15" t="str">
        <f>IF(C69&lt;&gt;"OK","",IF(B69="INITIAL",EDATE(I69,Assumptions!$B$12)+Assumptions!$B$11,IF(B69="RECON",H69,"")))</f>
        <v/>
      </c>
      <c r="K69" s="15">
        <f>IF(C69&lt;&gt;"OK","",IF(B69="HEARING",'Case inputs'!D69,EDATE(J69,Assumptions!$B$13)))</f>
        <v>46113</v>
      </c>
      <c r="L69" s="15">
        <f>IF(C69&lt;&gt;"OK","",IF(G69="SCHEDULED",H69,EDATE(IF(B69="HEARING",H69,EDATE(K69,INT(D69))+ROUND(MOD(D69,1)*30.44,0)),Assumptions!$B$18)))</f>
        <v>46357</v>
      </c>
      <c r="M69" s="15">
        <f>IF(C69&lt;&gt;"OK","",EDATE(L69,Assumptions!$B$15))</f>
        <v>46388</v>
      </c>
      <c r="N69" s="17">
        <f>IF(C69&lt;&gt;"OK","",IF(B69="INITIAL",Assumptions!$B$21,0))</f>
        <v>0</v>
      </c>
      <c r="O69" s="17">
        <f>IF(C69&lt;&gt;"OK","",IF(B69="INITIAL",(1-Assumptions!$B$21)*Assumptions!$B$24*Assumptions!$B$22,IF(B69="RECON",Assumptions!$B$22,0)))</f>
        <v>0</v>
      </c>
      <c r="P69" s="17">
        <f>IF(C69&lt;&gt;"OK","",IF(B69="INITIAL",(1-Assumptions!$B$21)*Assumptions!$B$24*(1-Assumptions!$B$22)*Assumptions!$B$25,IF(B69="RECON",(1-Assumptions!$B$22)*Assumptions!$B$25,1)))</f>
        <v>1</v>
      </c>
      <c r="Q69" s="17">
        <f>IF(C69&lt;&gt;"OK","",IF(B69="INITIAL",(1-Assumptions!$B$21)*(1-Assumptions!$B$24),0))</f>
        <v>0</v>
      </c>
      <c r="R69" s="17">
        <f>IF(C69&lt;&gt;"OK","",IF(B69="INITIAL",(1-Assumptions!$B$21)*Assumptions!$B$24*(1-Assumptions!$B$22)*(1-Assumptions!$B$25),IF(B69="RECON",(1-Assumptions!$B$22)*(1-Assumptions!$B$25),0)))</f>
        <v>0</v>
      </c>
      <c r="S69" s="17">
        <f>IF(C69&lt;&gt;"OK","",P69*Assumptions!$B$23)</f>
        <v>0.55000000000000004</v>
      </c>
      <c r="T69" s="17">
        <f>IF(C69&lt;&gt;"OK","",P69*(1-Assumptions!$B$23))</f>
        <v>0.44999999999999996</v>
      </c>
      <c r="U69" s="18">
        <f t="shared" si="3"/>
        <v>1</v>
      </c>
      <c r="V69" s="15" t="str">
        <f>IF(C69&lt;&gt;"OK","",IF(B69="INITIAL",EDATE(I69,Assumptions!$B$14),""))</f>
        <v/>
      </c>
      <c r="W69" s="15" t="str">
        <f>IF(C69&lt;&gt;"OK","",IF(B69="HEARING","",EDATE(J69,Assumptions!$B$14)))</f>
        <v/>
      </c>
      <c r="X69" s="15">
        <f>IF(C69&lt;&gt;"OK","",EDATE(M69,Assumptions!$B$16))</f>
        <v>46447</v>
      </c>
    </row>
    <row r="70" spans="1:24" ht="22" customHeight="1">
      <c r="A70" s="11" t="str">
        <f>IF('Case inputs'!A70="","",'Case inputs'!A70)</f>
        <v>A-015</v>
      </c>
      <c r="B70" s="11" t="str">
        <f>IF(A70="","",'Case inputs'!C70)</f>
        <v>HEARING</v>
      </c>
      <c r="C70" s="11" t="str">
        <f>IF('Case inputs'!I70="","",IF(Assumptions!$B$38&lt;&gt;"OK","ASSUMPTIONS INVALID",'Case inputs'!I70))</f>
        <v>OK</v>
      </c>
      <c r="D70" s="11">
        <f>IF(C70&lt;&gt;"OK","",VLOOKUP('Case inputs'!E70,Benchmarks!$A$6:$C$164,3,FALSE))</f>
        <v>8</v>
      </c>
      <c r="E70" s="11">
        <f>IF(C70&lt;&gt;"OK","",Assumptions!$B$5-'Case inputs'!D70)</f>
        <v>183</v>
      </c>
      <c r="F70" s="15">
        <f>IF(C70&lt;&gt;"OK","",IF(B70="INITIAL",'Case inputs'!D70+Assumptions!$B$10,IF(B70="RECON",'Case inputs'!D70+Assumptions!$B$11,EDATE('Case inputs'!D70,INT(D70))+ROUND(MOD(D70,1)*30.44,0))))</f>
        <v>46357</v>
      </c>
      <c r="G70" s="11" t="str">
        <f>IF(C70&lt;&gt;"OK","",IF(AND(B70="HEARING",'Case inputs'!F70&lt;&gt;"",'Case inputs'!F70&gt;=Assumptions!$B$5),"SCHEDULED",IF('Case inputs'!G70&lt;&gt;"","REVIEWED OVERRIDE",IF(F70&lt;Assumptions!$B$5,"OVERDUE: FUTURE WINDOW","BENCHMARK SCENARIO"))))</f>
        <v>BENCHMARK SCENARIO</v>
      </c>
      <c r="H70" s="15">
        <f>IF(C70&lt;&gt;"OK","",IF(G70="SCHEDULED",'Case inputs'!F70,IF('Case inputs'!G70&lt;&gt;"",'Case inputs'!G70,IF(F70&lt;Assumptions!$B$5,EDATE(Assumptions!$B$5,Assumptions!$B$17),F70))))</f>
        <v>46357</v>
      </c>
      <c r="I70" s="16" t="str">
        <f t="shared" ref="I70:I101" si="4">IF(C70&lt;&gt;"OK","",IF(B70="INITIAL",H70,""))</f>
        <v/>
      </c>
      <c r="J70" s="15" t="str">
        <f>IF(C70&lt;&gt;"OK","",IF(B70="INITIAL",EDATE(I70,Assumptions!$B$12)+Assumptions!$B$11,IF(B70="RECON",H70,"")))</f>
        <v/>
      </c>
      <c r="K70" s="15">
        <f>IF(C70&lt;&gt;"OK","",IF(B70="HEARING",'Case inputs'!D70,EDATE(J70,Assumptions!$B$13)))</f>
        <v>46113</v>
      </c>
      <c r="L70" s="15">
        <f>IF(C70&lt;&gt;"OK","",IF(G70="SCHEDULED",H70,EDATE(IF(B70="HEARING",H70,EDATE(K70,INT(D70))+ROUND(MOD(D70,1)*30.44,0)),Assumptions!$B$18)))</f>
        <v>46357</v>
      </c>
      <c r="M70" s="15">
        <f>IF(C70&lt;&gt;"OK","",EDATE(L70,Assumptions!$B$15))</f>
        <v>46388</v>
      </c>
      <c r="N70" s="17">
        <f>IF(C70&lt;&gt;"OK","",IF(B70="INITIAL",Assumptions!$B$21,0))</f>
        <v>0</v>
      </c>
      <c r="O70" s="17">
        <f>IF(C70&lt;&gt;"OK","",IF(B70="INITIAL",(1-Assumptions!$B$21)*Assumptions!$B$24*Assumptions!$B$22,IF(B70="RECON",Assumptions!$B$22,0)))</f>
        <v>0</v>
      </c>
      <c r="P70" s="17">
        <f>IF(C70&lt;&gt;"OK","",IF(B70="INITIAL",(1-Assumptions!$B$21)*Assumptions!$B$24*(1-Assumptions!$B$22)*Assumptions!$B$25,IF(B70="RECON",(1-Assumptions!$B$22)*Assumptions!$B$25,1)))</f>
        <v>1</v>
      </c>
      <c r="Q70" s="17">
        <f>IF(C70&lt;&gt;"OK","",IF(B70="INITIAL",(1-Assumptions!$B$21)*(1-Assumptions!$B$24),0))</f>
        <v>0</v>
      </c>
      <c r="R70" s="17">
        <f>IF(C70&lt;&gt;"OK","",IF(B70="INITIAL",(1-Assumptions!$B$21)*Assumptions!$B$24*(1-Assumptions!$B$22)*(1-Assumptions!$B$25),IF(B70="RECON",(1-Assumptions!$B$22)*(1-Assumptions!$B$25),0)))</f>
        <v>0</v>
      </c>
      <c r="S70" s="17">
        <f>IF(C70&lt;&gt;"OK","",P70*Assumptions!$B$23)</f>
        <v>0.55000000000000004</v>
      </c>
      <c r="T70" s="17">
        <f>IF(C70&lt;&gt;"OK","",P70*(1-Assumptions!$B$23))</f>
        <v>0.44999999999999996</v>
      </c>
      <c r="U70" s="18">
        <f t="shared" ref="U70:U101" si="5">IF(C70&lt;&gt;"OK","",SUM(N70:O70,Q70:T70))</f>
        <v>1</v>
      </c>
      <c r="V70" s="15" t="str">
        <f>IF(C70&lt;&gt;"OK","",IF(B70="INITIAL",EDATE(I70,Assumptions!$B$14),""))</f>
        <v/>
      </c>
      <c r="W70" s="15" t="str">
        <f>IF(C70&lt;&gt;"OK","",IF(B70="HEARING","",EDATE(J70,Assumptions!$B$14)))</f>
        <v/>
      </c>
      <c r="X70" s="15">
        <f>IF(C70&lt;&gt;"OK","",EDATE(M70,Assumptions!$B$16))</f>
        <v>46447</v>
      </c>
    </row>
    <row r="71" spans="1:24" ht="22" customHeight="1">
      <c r="A71" s="11" t="str">
        <f>IF('Case inputs'!A71="","",'Case inputs'!A71)</f>
        <v>A-016</v>
      </c>
      <c r="B71" s="11" t="str">
        <f>IF(A71="","",'Case inputs'!C71)</f>
        <v>HEARING</v>
      </c>
      <c r="C71" s="11" t="str">
        <f>IF('Case inputs'!I71="","",IF(Assumptions!$B$38&lt;&gt;"OK","ASSUMPTIONS INVALID",'Case inputs'!I71))</f>
        <v>OK</v>
      </c>
      <c r="D71" s="11">
        <f>IF(C71&lt;&gt;"OK","",VLOOKUP('Case inputs'!E71,Benchmarks!$A$6:$C$164,3,FALSE))</f>
        <v>8</v>
      </c>
      <c r="E71" s="11">
        <f>IF(C71&lt;&gt;"OK","",Assumptions!$B$5-'Case inputs'!D71)</f>
        <v>183</v>
      </c>
      <c r="F71" s="15">
        <f>IF(C71&lt;&gt;"OK","",IF(B71="INITIAL",'Case inputs'!D71+Assumptions!$B$10,IF(B71="RECON",'Case inputs'!D71+Assumptions!$B$11,EDATE('Case inputs'!D71,INT(D71))+ROUND(MOD(D71,1)*30.44,0))))</f>
        <v>46357</v>
      </c>
      <c r="G71" s="11" t="str">
        <f>IF(C71&lt;&gt;"OK","",IF(AND(B71="HEARING",'Case inputs'!F71&lt;&gt;"",'Case inputs'!F71&gt;=Assumptions!$B$5),"SCHEDULED",IF('Case inputs'!G71&lt;&gt;"","REVIEWED OVERRIDE",IF(F71&lt;Assumptions!$B$5,"OVERDUE: FUTURE WINDOW","BENCHMARK SCENARIO"))))</f>
        <v>BENCHMARK SCENARIO</v>
      </c>
      <c r="H71" s="15">
        <f>IF(C71&lt;&gt;"OK","",IF(G71="SCHEDULED",'Case inputs'!F71,IF('Case inputs'!G71&lt;&gt;"",'Case inputs'!G71,IF(F71&lt;Assumptions!$B$5,EDATE(Assumptions!$B$5,Assumptions!$B$17),F71))))</f>
        <v>46357</v>
      </c>
      <c r="I71" s="16" t="str">
        <f t="shared" si="4"/>
        <v/>
      </c>
      <c r="J71" s="15" t="str">
        <f>IF(C71&lt;&gt;"OK","",IF(B71="INITIAL",EDATE(I71,Assumptions!$B$12)+Assumptions!$B$11,IF(B71="RECON",H71,"")))</f>
        <v/>
      </c>
      <c r="K71" s="15">
        <f>IF(C71&lt;&gt;"OK","",IF(B71="HEARING",'Case inputs'!D71,EDATE(J71,Assumptions!$B$13)))</f>
        <v>46113</v>
      </c>
      <c r="L71" s="15">
        <f>IF(C71&lt;&gt;"OK","",IF(G71="SCHEDULED",H71,EDATE(IF(B71="HEARING",H71,EDATE(K71,INT(D71))+ROUND(MOD(D71,1)*30.44,0)),Assumptions!$B$18)))</f>
        <v>46357</v>
      </c>
      <c r="M71" s="15">
        <f>IF(C71&lt;&gt;"OK","",EDATE(L71,Assumptions!$B$15))</f>
        <v>46388</v>
      </c>
      <c r="N71" s="17">
        <f>IF(C71&lt;&gt;"OK","",IF(B71="INITIAL",Assumptions!$B$21,0))</f>
        <v>0</v>
      </c>
      <c r="O71" s="17">
        <f>IF(C71&lt;&gt;"OK","",IF(B71="INITIAL",(1-Assumptions!$B$21)*Assumptions!$B$24*Assumptions!$B$22,IF(B71="RECON",Assumptions!$B$22,0)))</f>
        <v>0</v>
      </c>
      <c r="P71" s="17">
        <f>IF(C71&lt;&gt;"OK","",IF(B71="INITIAL",(1-Assumptions!$B$21)*Assumptions!$B$24*(1-Assumptions!$B$22)*Assumptions!$B$25,IF(B71="RECON",(1-Assumptions!$B$22)*Assumptions!$B$25,1)))</f>
        <v>1</v>
      </c>
      <c r="Q71" s="17">
        <f>IF(C71&lt;&gt;"OK","",IF(B71="INITIAL",(1-Assumptions!$B$21)*(1-Assumptions!$B$24),0))</f>
        <v>0</v>
      </c>
      <c r="R71" s="17">
        <f>IF(C71&lt;&gt;"OK","",IF(B71="INITIAL",(1-Assumptions!$B$21)*Assumptions!$B$24*(1-Assumptions!$B$22)*(1-Assumptions!$B$25),IF(B71="RECON",(1-Assumptions!$B$22)*(1-Assumptions!$B$25),0)))</f>
        <v>0</v>
      </c>
      <c r="S71" s="17">
        <f>IF(C71&lt;&gt;"OK","",P71*Assumptions!$B$23)</f>
        <v>0.55000000000000004</v>
      </c>
      <c r="T71" s="17">
        <f>IF(C71&lt;&gt;"OK","",P71*(1-Assumptions!$B$23))</f>
        <v>0.44999999999999996</v>
      </c>
      <c r="U71" s="18">
        <f t="shared" si="5"/>
        <v>1</v>
      </c>
      <c r="V71" s="15" t="str">
        <f>IF(C71&lt;&gt;"OK","",IF(B71="INITIAL",EDATE(I71,Assumptions!$B$14),""))</f>
        <v/>
      </c>
      <c r="W71" s="15" t="str">
        <f>IF(C71&lt;&gt;"OK","",IF(B71="HEARING","",EDATE(J71,Assumptions!$B$14)))</f>
        <v/>
      </c>
      <c r="X71" s="15">
        <f>IF(C71&lt;&gt;"OK","",EDATE(M71,Assumptions!$B$16))</f>
        <v>46447</v>
      </c>
    </row>
    <row r="72" spans="1:24" ht="22" customHeight="1">
      <c r="A72" s="11" t="str">
        <f>IF('Case inputs'!A72="","",'Case inputs'!A72)</f>
        <v>A-017</v>
      </c>
      <c r="B72" s="11" t="str">
        <f>IF(A72="","",'Case inputs'!C72)</f>
        <v>HEARING</v>
      </c>
      <c r="C72" s="11" t="str">
        <f>IF('Case inputs'!I72="","",IF(Assumptions!$B$38&lt;&gt;"OK","ASSUMPTIONS INVALID",'Case inputs'!I72))</f>
        <v>OK</v>
      </c>
      <c r="D72" s="11">
        <f>IF(C72&lt;&gt;"OK","",VLOOKUP('Case inputs'!E72,Benchmarks!$A$6:$C$164,3,FALSE))</f>
        <v>8</v>
      </c>
      <c r="E72" s="11">
        <f>IF(C72&lt;&gt;"OK","",Assumptions!$B$5-'Case inputs'!D72)</f>
        <v>183</v>
      </c>
      <c r="F72" s="15">
        <f>IF(C72&lt;&gt;"OK","",IF(B72="INITIAL",'Case inputs'!D72+Assumptions!$B$10,IF(B72="RECON",'Case inputs'!D72+Assumptions!$B$11,EDATE('Case inputs'!D72,INT(D72))+ROUND(MOD(D72,1)*30.44,0))))</f>
        <v>46357</v>
      </c>
      <c r="G72" s="11" t="str">
        <f>IF(C72&lt;&gt;"OK","",IF(AND(B72="HEARING",'Case inputs'!F72&lt;&gt;"",'Case inputs'!F72&gt;=Assumptions!$B$5),"SCHEDULED",IF('Case inputs'!G72&lt;&gt;"","REVIEWED OVERRIDE",IF(F72&lt;Assumptions!$B$5,"OVERDUE: FUTURE WINDOW","BENCHMARK SCENARIO"))))</f>
        <v>BENCHMARK SCENARIO</v>
      </c>
      <c r="H72" s="15">
        <f>IF(C72&lt;&gt;"OK","",IF(G72="SCHEDULED",'Case inputs'!F72,IF('Case inputs'!G72&lt;&gt;"",'Case inputs'!G72,IF(F72&lt;Assumptions!$B$5,EDATE(Assumptions!$B$5,Assumptions!$B$17),F72))))</f>
        <v>46357</v>
      </c>
      <c r="I72" s="16" t="str">
        <f t="shared" si="4"/>
        <v/>
      </c>
      <c r="J72" s="15" t="str">
        <f>IF(C72&lt;&gt;"OK","",IF(B72="INITIAL",EDATE(I72,Assumptions!$B$12)+Assumptions!$B$11,IF(B72="RECON",H72,"")))</f>
        <v/>
      </c>
      <c r="K72" s="15">
        <f>IF(C72&lt;&gt;"OK","",IF(B72="HEARING",'Case inputs'!D72,EDATE(J72,Assumptions!$B$13)))</f>
        <v>46113</v>
      </c>
      <c r="L72" s="15">
        <f>IF(C72&lt;&gt;"OK","",IF(G72="SCHEDULED",H72,EDATE(IF(B72="HEARING",H72,EDATE(K72,INT(D72))+ROUND(MOD(D72,1)*30.44,0)),Assumptions!$B$18)))</f>
        <v>46357</v>
      </c>
      <c r="M72" s="15">
        <f>IF(C72&lt;&gt;"OK","",EDATE(L72,Assumptions!$B$15))</f>
        <v>46388</v>
      </c>
      <c r="N72" s="17">
        <f>IF(C72&lt;&gt;"OK","",IF(B72="INITIAL",Assumptions!$B$21,0))</f>
        <v>0</v>
      </c>
      <c r="O72" s="17">
        <f>IF(C72&lt;&gt;"OK","",IF(B72="INITIAL",(1-Assumptions!$B$21)*Assumptions!$B$24*Assumptions!$B$22,IF(B72="RECON",Assumptions!$B$22,0)))</f>
        <v>0</v>
      </c>
      <c r="P72" s="17">
        <f>IF(C72&lt;&gt;"OK","",IF(B72="INITIAL",(1-Assumptions!$B$21)*Assumptions!$B$24*(1-Assumptions!$B$22)*Assumptions!$B$25,IF(B72="RECON",(1-Assumptions!$B$22)*Assumptions!$B$25,1)))</f>
        <v>1</v>
      </c>
      <c r="Q72" s="17">
        <f>IF(C72&lt;&gt;"OK","",IF(B72="INITIAL",(1-Assumptions!$B$21)*(1-Assumptions!$B$24),0))</f>
        <v>0</v>
      </c>
      <c r="R72" s="17">
        <f>IF(C72&lt;&gt;"OK","",IF(B72="INITIAL",(1-Assumptions!$B$21)*Assumptions!$B$24*(1-Assumptions!$B$22)*(1-Assumptions!$B$25),IF(B72="RECON",(1-Assumptions!$B$22)*(1-Assumptions!$B$25),0)))</f>
        <v>0</v>
      </c>
      <c r="S72" s="17">
        <f>IF(C72&lt;&gt;"OK","",P72*Assumptions!$B$23)</f>
        <v>0.55000000000000004</v>
      </c>
      <c r="T72" s="17">
        <f>IF(C72&lt;&gt;"OK","",P72*(1-Assumptions!$B$23))</f>
        <v>0.44999999999999996</v>
      </c>
      <c r="U72" s="18">
        <f t="shared" si="5"/>
        <v>1</v>
      </c>
      <c r="V72" s="15" t="str">
        <f>IF(C72&lt;&gt;"OK","",IF(B72="INITIAL",EDATE(I72,Assumptions!$B$14),""))</f>
        <v/>
      </c>
      <c r="W72" s="15" t="str">
        <f>IF(C72&lt;&gt;"OK","",IF(B72="HEARING","",EDATE(J72,Assumptions!$B$14)))</f>
        <v/>
      </c>
      <c r="X72" s="15">
        <f>IF(C72&lt;&gt;"OK","",EDATE(M72,Assumptions!$B$16))</f>
        <v>46447</v>
      </c>
    </row>
    <row r="73" spans="1:24" ht="22" customHeight="1">
      <c r="A73" s="11" t="str">
        <f>IF('Case inputs'!A73="","",'Case inputs'!A73)</f>
        <v>A-018</v>
      </c>
      <c r="B73" s="11" t="str">
        <f>IF(A73="","",'Case inputs'!C73)</f>
        <v>HEARING</v>
      </c>
      <c r="C73" s="11" t="str">
        <f>IF('Case inputs'!I73="","",IF(Assumptions!$B$38&lt;&gt;"OK","ASSUMPTIONS INVALID",'Case inputs'!I73))</f>
        <v>OK</v>
      </c>
      <c r="D73" s="11">
        <f>IF(C73&lt;&gt;"OK","",VLOOKUP('Case inputs'!E73,Benchmarks!$A$6:$C$164,3,FALSE))</f>
        <v>8</v>
      </c>
      <c r="E73" s="11">
        <f>IF(C73&lt;&gt;"OK","",Assumptions!$B$5-'Case inputs'!D73)</f>
        <v>183</v>
      </c>
      <c r="F73" s="15">
        <f>IF(C73&lt;&gt;"OK","",IF(B73="INITIAL",'Case inputs'!D73+Assumptions!$B$10,IF(B73="RECON",'Case inputs'!D73+Assumptions!$B$11,EDATE('Case inputs'!D73,INT(D73))+ROUND(MOD(D73,1)*30.44,0))))</f>
        <v>46357</v>
      </c>
      <c r="G73" s="11" t="str">
        <f>IF(C73&lt;&gt;"OK","",IF(AND(B73="HEARING",'Case inputs'!F73&lt;&gt;"",'Case inputs'!F73&gt;=Assumptions!$B$5),"SCHEDULED",IF('Case inputs'!G73&lt;&gt;"","REVIEWED OVERRIDE",IF(F73&lt;Assumptions!$B$5,"OVERDUE: FUTURE WINDOW","BENCHMARK SCENARIO"))))</f>
        <v>BENCHMARK SCENARIO</v>
      </c>
      <c r="H73" s="15">
        <f>IF(C73&lt;&gt;"OK","",IF(G73="SCHEDULED",'Case inputs'!F73,IF('Case inputs'!G73&lt;&gt;"",'Case inputs'!G73,IF(F73&lt;Assumptions!$B$5,EDATE(Assumptions!$B$5,Assumptions!$B$17),F73))))</f>
        <v>46357</v>
      </c>
      <c r="I73" s="16" t="str">
        <f t="shared" si="4"/>
        <v/>
      </c>
      <c r="J73" s="15" t="str">
        <f>IF(C73&lt;&gt;"OK","",IF(B73="INITIAL",EDATE(I73,Assumptions!$B$12)+Assumptions!$B$11,IF(B73="RECON",H73,"")))</f>
        <v/>
      </c>
      <c r="K73" s="15">
        <f>IF(C73&lt;&gt;"OK","",IF(B73="HEARING",'Case inputs'!D73,EDATE(J73,Assumptions!$B$13)))</f>
        <v>46113</v>
      </c>
      <c r="L73" s="15">
        <f>IF(C73&lt;&gt;"OK","",IF(G73="SCHEDULED",H73,EDATE(IF(B73="HEARING",H73,EDATE(K73,INT(D73))+ROUND(MOD(D73,1)*30.44,0)),Assumptions!$B$18)))</f>
        <v>46357</v>
      </c>
      <c r="M73" s="15">
        <f>IF(C73&lt;&gt;"OK","",EDATE(L73,Assumptions!$B$15))</f>
        <v>46388</v>
      </c>
      <c r="N73" s="17">
        <f>IF(C73&lt;&gt;"OK","",IF(B73="INITIAL",Assumptions!$B$21,0))</f>
        <v>0</v>
      </c>
      <c r="O73" s="17">
        <f>IF(C73&lt;&gt;"OK","",IF(B73="INITIAL",(1-Assumptions!$B$21)*Assumptions!$B$24*Assumptions!$B$22,IF(B73="RECON",Assumptions!$B$22,0)))</f>
        <v>0</v>
      </c>
      <c r="P73" s="17">
        <f>IF(C73&lt;&gt;"OK","",IF(B73="INITIAL",(1-Assumptions!$B$21)*Assumptions!$B$24*(1-Assumptions!$B$22)*Assumptions!$B$25,IF(B73="RECON",(1-Assumptions!$B$22)*Assumptions!$B$25,1)))</f>
        <v>1</v>
      </c>
      <c r="Q73" s="17">
        <f>IF(C73&lt;&gt;"OK","",IF(B73="INITIAL",(1-Assumptions!$B$21)*(1-Assumptions!$B$24),0))</f>
        <v>0</v>
      </c>
      <c r="R73" s="17">
        <f>IF(C73&lt;&gt;"OK","",IF(B73="INITIAL",(1-Assumptions!$B$21)*Assumptions!$B$24*(1-Assumptions!$B$22)*(1-Assumptions!$B$25),IF(B73="RECON",(1-Assumptions!$B$22)*(1-Assumptions!$B$25),0)))</f>
        <v>0</v>
      </c>
      <c r="S73" s="17">
        <f>IF(C73&lt;&gt;"OK","",P73*Assumptions!$B$23)</f>
        <v>0.55000000000000004</v>
      </c>
      <c r="T73" s="17">
        <f>IF(C73&lt;&gt;"OK","",P73*(1-Assumptions!$B$23))</f>
        <v>0.44999999999999996</v>
      </c>
      <c r="U73" s="18">
        <f t="shared" si="5"/>
        <v>1</v>
      </c>
      <c r="V73" s="15" t="str">
        <f>IF(C73&lt;&gt;"OK","",IF(B73="INITIAL",EDATE(I73,Assumptions!$B$14),""))</f>
        <v/>
      </c>
      <c r="W73" s="15" t="str">
        <f>IF(C73&lt;&gt;"OK","",IF(B73="HEARING","",EDATE(J73,Assumptions!$B$14)))</f>
        <v/>
      </c>
      <c r="X73" s="15">
        <f>IF(C73&lt;&gt;"OK","",EDATE(M73,Assumptions!$B$16))</f>
        <v>46447</v>
      </c>
    </row>
    <row r="74" spans="1:24" ht="22" customHeight="1">
      <c r="A74" s="11" t="str">
        <f>IF('Case inputs'!A74="","",'Case inputs'!A74)</f>
        <v>A-019</v>
      </c>
      <c r="B74" s="11" t="str">
        <f>IF(A74="","",'Case inputs'!C74)</f>
        <v>HEARING</v>
      </c>
      <c r="C74" s="11" t="str">
        <f>IF('Case inputs'!I74="","",IF(Assumptions!$B$38&lt;&gt;"OK","ASSUMPTIONS INVALID",'Case inputs'!I74))</f>
        <v>OK</v>
      </c>
      <c r="D74" s="11">
        <f>IF(C74&lt;&gt;"OK","",VLOOKUP('Case inputs'!E74,Benchmarks!$A$6:$C$164,3,FALSE))</f>
        <v>8</v>
      </c>
      <c r="E74" s="11">
        <f>IF(C74&lt;&gt;"OK","",Assumptions!$B$5-'Case inputs'!D74)</f>
        <v>183</v>
      </c>
      <c r="F74" s="15">
        <f>IF(C74&lt;&gt;"OK","",IF(B74="INITIAL",'Case inputs'!D74+Assumptions!$B$10,IF(B74="RECON",'Case inputs'!D74+Assumptions!$B$11,EDATE('Case inputs'!D74,INT(D74))+ROUND(MOD(D74,1)*30.44,0))))</f>
        <v>46357</v>
      </c>
      <c r="G74" s="11" t="str">
        <f>IF(C74&lt;&gt;"OK","",IF(AND(B74="HEARING",'Case inputs'!F74&lt;&gt;"",'Case inputs'!F74&gt;=Assumptions!$B$5),"SCHEDULED",IF('Case inputs'!G74&lt;&gt;"","REVIEWED OVERRIDE",IF(F74&lt;Assumptions!$B$5,"OVERDUE: FUTURE WINDOW","BENCHMARK SCENARIO"))))</f>
        <v>BENCHMARK SCENARIO</v>
      </c>
      <c r="H74" s="15">
        <f>IF(C74&lt;&gt;"OK","",IF(G74="SCHEDULED",'Case inputs'!F74,IF('Case inputs'!G74&lt;&gt;"",'Case inputs'!G74,IF(F74&lt;Assumptions!$B$5,EDATE(Assumptions!$B$5,Assumptions!$B$17),F74))))</f>
        <v>46357</v>
      </c>
      <c r="I74" s="16" t="str">
        <f t="shared" si="4"/>
        <v/>
      </c>
      <c r="J74" s="15" t="str">
        <f>IF(C74&lt;&gt;"OK","",IF(B74="INITIAL",EDATE(I74,Assumptions!$B$12)+Assumptions!$B$11,IF(B74="RECON",H74,"")))</f>
        <v/>
      </c>
      <c r="K74" s="15">
        <f>IF(C74&lt;&gt;"OK","",IF(B74="HEARING",'Case inputs'!D74,EDATE(J74,Assumptions!$B$13)))</f>
        <v>46113</v>
      </c>
      <c r="L74" s="15">
        <f>IF(C74&lt;&gt;"OK","",IF(G74="SCHEDULED",H74,EDATE(IF(B74="HEARING",H74,EDATE(K74,INT(D74))+ROUND(MOD(D74,1)*30.44,0)),Assumptions!$B$18)))</f>
        <v>46357</v>
      </c>
      <c r="M74" s="15">
        <f>IF(C74&lt;&gt;"OK","",EDATE(L74,Assumptions!$B$15))</f>
        <v>46388</v>
      </c>
      <c r="N74" s="17">
        <f>IF(C74&lt;&gt;"OK","",IF(B74="INITIAL",Assumptions!$B$21,0))</f>
        <v>0</v>
      </c>
      <c r="O74" s="17">
        <f>IF(C74&lt;&gt;"OK","",IF(B74="INITIAL",(1-Assumptions!$B$21)*Assumptions!$B$24*Assumptions!$B$22,IF(B74="RECON",Assumptions!$B$22,0)))</f>
        <v>0</v>
      </c>
      <c r="P74" s="17">
        <f>IF(C74&lt;&gt;"OK","",IF(B74="INITIAL",(1-Assumptions!$B$21)*Assumptions!$B$24*(1-Assumptions!$B$22)*Assumptions!$B$25,IF(B74="RECON",(1-Assumptions!$B$22)*Assumptions!$B$25,1)))</f>
        <v>1</v>
      </c>
      <c r="Q74" s="17">
        <f>IF(C74&lt;&gt;"OK","",IF(B74="INITIAL",(1-Assumptions!$B$21)*(1-Assumptions!$B$24),0))</f>
        <v>0</v>
      </c>
      <c r="R74" s="17">
        <f>IF(C74&lt;&gt;"OK","",IF(B74="INITIAL",(1-Assumptions!$B$21)*Assumptions!$B$24*(1-Assumptions!$B$22)*(1-Assumptions!$B$25),IF(B74="RECON",(1-Assumptions!$B$22)*(1-Assumptions!$B$25),0)))</f>
        <v>0</v>
      </c>
      <c r="S74" s="17">
        <f>IF(C74&lt;&gt;"OK","",P74*Assumptions!$B$23)</f>
        <v>0.55000000000000004</v>
      </c>
      <c r="T74" s="17">
        <f>IF(C74&lt;&gt;"OK","",P74*(1-Assumptions!$B$23))</f>
        <v>0.44999999999999996</v>
      </c>
      <c r="U74" s="18">
        <f t="shared" si="5"/>
        <v>1</v>
      </c>
      <c r="V74" s="15" t="str">
        <f>IF(C74&lt;&gt;"OK","",IF(B74="INITIAL",EDATE(I74,Assumptions!$B$14),""))</f>
        <v/>
      </c>
      <c r="W74" s="15" t="str">
        <f>IF(C74&lt;&gt;"OK","",IF(B74="HEARING","",EDATE(J74,Assumptions!$B$14)))</f>
        <v/>
      </c>
      <c r="X74" s="15">
        <f>IF(C74&lt;&gt;"OK","",EDATE(M74,Assumptions!$B$16))</f>
        <v>46447</v>
      </c>
    </row>
    <row r="75" spans="1:24" ht="22" customHeight="1">
      <c r="A75" s="11" t="str">
        <f>IF('Case inputs'!A75="","",'Case inputs'!A75)</f>
        <v>A-020</v>
      </c>
      <c r="B75" s="11" t="str">
        <f>IF(A75="","",'Case inputs'!C75)</f>
        <v>HEARING</v>
      </c>
      <c r="C75" s="11" t="str">
        <f>IF('Case inputs'!I75="","",IF(Assumptions!$B$38&lt;&gt;"OK","ASSUMPTIONS INVALID",'Case inputs'!I75))</f>
        <v>OK</v>
      </c>
      <c r="D75" s="11">
        <f>IF(C75&lt;&gt;"OK","",VLOOKUP('Case inputs'!E75,Benchmarks!$A$6:$C$164,3,FALSE))</f>
        <v>8</v>
      </c>
      <c r="E75" s="11">
        <f>IF(C75&lt;&gt;"OK","",Assumptions!$B$5-'Case inputs'!D75)</f>
        <v>183</v>
      </c>
      <c r="F75" s="15">
        <f>IF(C75&lt;&gt;"OK","",IF(B75="INITIAL",'Case inputs'!D75+Assumptions!$B$10,IF(B75="RECON",'Case inputs'!D75+Assumptions!$B$11,EDATE('Case inputs'!D75,INT(D75))+ROUND(MOD(D75,1)*30.44,0))))</f>
        <v>46357</v>
      </c>
      <c r="G75" s="11" t="str">
        <f>IF(C75&lt;&gt;"OK","",IF(AND(B75="HEARING",'Case inputs'!F75&lt;&gt;"",'Case inputs'!F75&gt;=Assumptions!$B$5),"SCHEDULED",IF('Case inputs'!G75&lt;&gt;"","REVIEWED OVERRIDE",IF(F75&lt;Assumptions!$B$5,"OVERDUE: FUTURE WINDOW","BENCHMARK SCENARIO"))))</f>
        <v>BENCHMARK SCENARIO</v>
      </c>
      <c r="H75" s="15">
        <f>IF(C75&lt;&gt;"OK","",IF(G75="SCHEDULED",'Case inputs'!F75,IF('Case inputs'!G75&lt;&gt;"",'Case inputs'!G75,IF(F75&lt;Assumptions!$B$5,EDATE(Assumptions!$B$5,Assumptions!$B$17),F75))))</f>
        <v>46357</v>
      </c>
      <c r="I75" s="16" t="str">
        <f t="shared" si="4"/>
        <v/>
      </c>
      <c r="J75" s="15" t="str">
        <f>IF(C75&lt;&gt;"OK","",IF(B75="INITIAL",EDATE(I75,Assumptions!$B$12)+Assumptions!$B$11,IF(B75="RECON",H75,"")))</f>
        <v/>
      </c>
      <c r="K75" s="15">
        <f>IF(C75&lt;&gt;"OK","",IF(B75="HEARING",'Case inputs'!D75,EDATE(J75,Assumptions!$B$13)))</f>
        <v>46113</v>
      </c>
      <c r="L75" s="15">
        <f>IF(C75&lt;&gt;"OK","",IF(G75="SCHEDULED",H75,EDATE(IF(B75="HEARING",H75,EDATE(K75,INT(D75))+ROUND(MOD(D75,1)*30.44,0)),Assumptions!$B$18)))</f>
        <v>46357</v>
      </c>
      <c r="M75" s="15">
        <f>IF(C75&lt;&gt;"OK","",EDATE(L75,Assumptions!$B$15))</f>
        <v>46388</v>
      </c>
      <c r="N75" s="17">
        <f>IF(C75&lt;&gt;"OK","",IF(B75="INITIAL",Assumptions!$B$21,0))</f>
        <v>0</v>
      </c>
      <c r="O75" s="17">
        <f>IF(C75&lt;&gt;"OK","",IF(B75="INITIAL",(1-Assumptions!$B$21)*Assumptions!$B$24*Assumptions!$B$22,IF(B75="RECON",Assumptions!$B$22,0)))</f>
        <v>0</v>
      </c>
      <c r="P75" s="17">
        <f>IF(C75&lt;&gt;"OK","",IF(B75="INITIAL",(1-Assumptions!$B$21)*Assumptions!$B$24*(1-Assumptions!$B$22)*Assumptions!$B$25,IF(B75="RECON",(1-Assumptions!$B$22)*Assumptions!$B$25,1)))</f>
        <v>1</v>
      </c>
      <c r="Q75" s="17">
        <f>IF(C75&lt;&gt;"OK","",IF(B75="INITIAL",(1-Assumptions!$B$21)*(1-Assumptions!$B$24),0))</f>
        <v>0</v>
      </c>
      <c r="R75" s="17">
        <f>IF(C75&lt;&gt;"OK","",IF(B75="INITIAL",(1-Assumptions!$B$21)*Assumptions!$B$24*(1-Assumptions!$B$22)*(1-Assumptions!$B$25),IF(B75="RECON",(1-Assumptions!$B$22)*(1-Assumptions!$B$25),0)))</f>
        <v>0</v>
      </c>
      <c r="S75" s="17">
        <f>IF(C75&lt;&gt;"OK","",P75*Assumptions!$B$23)</f>
        <v>0.55000000000000004</v>
      </c>
      <c r="T75" s="17">
        <f>IF(C75&lt;&gt;"OK","",P75*(1-Assumptions!$B$23))</f>
        <v>0.44999999999999996</v>
      </c>
      <c r="U75" s="18">
        <f t="shared" si="5"/>
        <v>1</v>
      </c>
      <c r="V75" s="15" t="str">
        <f>IF(C75&lt;&gt;"OK","",IF(B75="INITIAL",EDATE(I75,Assumptions!$B$14),""))</f>
        <v/>
      </c>
      <c r="W75" s="15" t="str">
        <f>IF(C75&lt;&gt;"OK","",IF(B75="HEARING","",EDATE(J75,Assumptions!$B$14)))</f>
        <v/>
      </c>
      <c r="X75" s="15">
        <f>IF(C75&lt;&gt;"OK","",EDATE(M75,Assumptions!$B$16))</f>
        <v>46447</v>
      </c>
    </row>
    <row r="76" spans="1:24" ht="22" customHeight="1">
      <c r="A76" s="11" t="str">
        <f>IF('Case inputs'!A76="","",'Case inputs'!A76)</f>
        <v>A-021</v>
      </c>
      <c r="B76" s="11" t="str">
        <f>IF(A76="","",'Case inputs'!C76)</f>
        <v>HEARING</v>
      </c>
      <c r="C76" s="11" t="str">
        <f>IF('Case inputs'!I76="","",IF(Assumptions!$B$38&lt;&gt;"OK","ASSUMPTIONS INVALID",'Case inputs'!I76))</f>
        <v>OK</v>
      </c>
      <c r="D76" s="11">
        <f>IF(C76&lt;&gt;"OK","",VLOOKUP('Case inputs'!E76,Benchmarks!$A$6:$C$164,3,FALSE))</f>
        <v>8</v>
      </c>
      <c r="E76" s="11">
        <f>IF(C76&lt;&gt;"OK","",Assumptions!$B$5-'Case inputs'!D76)</f>
        <v>153</v>
      </c>
      <c r="F76" s="15">
        <f>IF(C76&lt;&gt;"OK","",IF(B76="INITIAL",'Case inputs'!D76+Assumptions!$B$10,IF(B76="RECON",'Case inputs'!D76+Assumptions!$B$11,EDATE('Case inputs'!D76,INT(D76))+ROUND(MOD(D76,1)*30.44,0))))</f>
        <v>46388</v>
      </c>
      <c r="G76" s="11" t="str">
        <f>IF(C76&lt;&gt;"OK","",IF(AND(B76="HEARING",'Case inputs'!F76&lt;&gt;"",'Case inputs'!F76&gt;=Assumptions!$B$5),"SCHEDULED",IF('Case inputs'!G76&lt;&gt;"","REVIEWED OVERRIDE",IF(F76&lt;Assumptions!$B$5,"OVERDUE: FUTURE WINDOW","BENCHMARK SCENARIO"))))</f>
        <v>BENCHMARK SCENARIO</v>
      </c>
      <c r="H76" s="15">
        <f>IF(C76&lt;&gt;"OK","",IF(G76="SCHEDULED",'Case inputs'!F76,IF('Case inputs'!G76&lt;&gt;"",'Case inputs'!G76,IF(F76&lt;Assumptions!$B$5,EDATE(Assumptions!$B$5,Assumptions!$B$17),F76))))</f>
        <v>46388</v>
      </c>
      <c r="I76" s="16" t="str">
        <f t="shared" si="4"/>
        <v/>
      </c>
      <c r="J76" s="15" t="str">
        <f>IF(C76&lt;&gt;"OK","",IF(B76="INITIAL",EDATE(I76,Assumptions!$B$12)+Assumptions!$B$11,IF(B76="RECON",H76,"")))</f>
        <v/>
      </c>
      <c r="K76" s="15">
        <f>IF(C76&lt;&gt;"OK","",IF(B76="HEARING",'Case inputs'!D76,EDATE(J76,Assumptions!$B$13)))</f>
        <v>46143</v>
      </c>
      <c r="L76" s="15">
        <f>IF(C76&lt;&gt;"OK","",IF(G76="SCHEDULED",H76,EDATE(IF(B76="HEARING",H76,EDATE(K76,INT(D76))+ROUND(MOD(D76,1)*30.44,0)),Assumptions!$B$18)))</f>
        <v>46388</v>
      </c>
      <c r="M76" s="15">
        <f>IF(C76&lt;&gt;"OK","",EDATE(L76,Assumptions!$B$15))</f>
        <v>46419</v>
      </c>
      <c r="N76" s="17">
        <f>IF(C76&lt;&gt;"OK","",IF(B76="INITIAL",Assumptions!$B$21,0))</f>
        <v>0</v>
      </c>
      <c r="O76" s="17">
        <f>IF(C76&lt;&gt;"OK","",IF(B76="INITIAL",(1-Assumptions!$B$21)*Assumptions!$B$24*Assumptions!$B$22,IF(B76="RECON",Assumptions!$B$22,0)))</f>
        <v>0</v>
      </c>
      <c r="P76" s="17">
        <f>IF(C76&lt;&gt;"OK","",IF(B76="INITIAL",(1-Assumptions!$B$21)*Assumptions!$B$24*(1-Assumptions!$B$22)*Assumptions!$B$25,IF(B76="RECON",(1-Assumptions!$B$22)*Assumptions!$B$25,1)))</f>
        <v>1</v>
      </c>
      <c r="Q76" s="17">
        <f>IF(C76&lt;&gt;"OK","",IF(B76="INITIAL",(1-Assumptions!$B$21)*(1-Assumptions!$B$24),0))</f>
        <v>0</v>
      </c>
      <c r="R76" s="17">
        <f>IF(C76&lt;&gt;"OK","",IF(B76="INITIAL",(1-Assumptions!$B$21)*Assumptions!$B$24*(1-Assumptions!$B$22)*(1-Assumptions!$B$25),IF(B76="RECON",(1-Assumptions!$B$22)*(1-Assumptions!$B$25),0)))</f>
        <v>0</v>
      </c>
      <c r="S76" s="17">
        <f>IF(C76&lt;&gt;"OK","",P76*Assumptions!$B$23)</f>
        <v>0.55000000000000004</v>
      </c>
      <c r="T76" s="17">
        <f>IF(C76&lt;&gt;"OK","",P76*(1-Assumptions!$B$23))</f>
        <v>0.44999999999999996</v>
      </c>
      <c r="U76" s="18">
        <f t="shared" si="5"/>
        <v>1</v>
      </c>
      <c r="V76" s="15" t="str">
        <f>IF(C76&lt;&gt;"OK","",IF(B76="INITIAL",EDATE(I76,Assumptions!$B$14),""))</f>
        <v/>
      </c>
      <c r="W76" s="15" t="str">
        <f>IF(C76&lt;&gt;"OK","",IF(B76="HEARING","",EDATE(J76,Assumptions!$B$14)))</f>
        <v/>
      </c>
      <c r="X76" s="15">
        <f>IF(C76&lt;&gt;"OK","",EDATE(M76,Assumptions!$B$16))</f>
        <v>46478</v>
      </c>
    </row>
    <row r="77" spans="1:24" ht="22" customHeight="1">
      <c r="A77" s="11" t="str">
        <f>IF('Case inputs'!A77="","",'Case inputs'!A77)</f>
        <v>A-022</v>
      </c>
      <c r="B77" s="11" t="str">
        <f>IF(A77="","",'Case inputs'!C77)</f>
        <v>HEARING</v>
      </c>
      <c r="C77" s="11" t="str">
        <f>IF('Case inputs'!I77="","",IF(Assumptions!$B$38&lt;&gt;"OK","ASSUMPTIONS INVALID",'Case inputs'!I77))</f>
        <v>OK</v>
      </c>
      <c r="D77" s="11">
        <f>IF(C77&lt;&gt;"OK","",VLOOKUP('Case inputs'!E77,Benchmarks!$A$6:$C$164,3,FALSE))</f>
        <v>8</v>
      </c>
      <c r="E77" s="11">
        <f>IF(C77&lt;&gt;"OK","",Assumptions!$B$5-'Case inputs'!D77)</f>
        <v>153</v>
      </c>
      <c r="F77" s="15">
        <f>IF(C77&lt;&gt;"OK","",IF(B77="INITIAL",'Case inputs'!D77+Assumptions!$B$10,IF(B77="RECON",'Case inputs'!D77+Assumptions!$B$11,EDATE('Case inputs'!D77,INT(D77))+ROUND(MOD(D77,1)*30.44,0))))</f>
        <v>46388</v>
      </c>
      <c r="G77" s="11" t="str">
        <f>IF(C77&lt;&gt;"OK","",IF(AND(B77="HEARING",'Case inputs'!F77&lt;&gt;"",'Case inputs'!F77&gt;=Assumptions!$B$5),"SCHEDULED",IF('Case inputs'!G77&lt;&gt;"","REVIEWED OVERRIDE",IF(F77&lt;Assumptions!$B$5,"OVERDUE: FUTURE WINDOW","BENCHMARK SCENARIO"))))</f>
        <v>BENCHMARK SCENARIO</v>
      </c>
      <c r="H77" s="15">
        <f>IF(C77&lt;&gt;"OK","",IF(G77="SCHEDULED",'Case inputs'!F77,IF('Case inputs'!G77&lt;&gt;"",'Case inputs'!G77,IF(F77&lt;Assumptions!$B$5,EDATE(Assumptions!$B$5,Assumptions!$B$17),F77))))</f>
        <v>46388</v>
      </c>
      <c r="I77" s="16" t="str">
        <f t="shared" si="4"/>
        <v/>
      </c>
      <c r="J77" s="15" t="str">
        <f>IF(C77&lt;&gt;"OK","",IF(B77="INITIAL",EDATE(I77,Assumptions!$B$12)+Assumptions!$B$11,IF(B77="RECON",H77,"")))</f>
        <v/>
      </c>
      <c r="K77" s="15">
        <f>IF(C77&lt;&gt;"OK","",IF(B77="HEARING",'Case inputs'!D77,EDATE(J77,Assumptions!$B$13)))</f>
        <v>46143</v>
      </c>
      <c r="L77" s="15">
        <f>IF(C77&lt;&gt;"OK","",IF(G77="SCHEDULED",H77,EDATE(IF(B77="HEARING",H77,EDATE(K77,INT(D77))+ROUND(MOD(D77,1)*30.44,0)),Assumptions!$B$18)))</f>
        <v>46388</v>
      </c>
      <c r="M77" s="15">
        <f>IF(C77&lt;&gt;"OK","",EDATE(L77,Assumptions!$B$15))</f>
        <v>46419</v>
      </c>
      <c r="N77" s="17">
        <f>IF(C77&lt;&gt;"OK","",IF(B77="INITIAL",Assumptions!$B$21,0))</f>
        <v>0</v>
      </c>
      <c r="O77" s="17">
        <f>IF(C77&lt;&gt;"OK","",IF(B77="INITIAL",(1-Assumptions!$B$21)*Assumptions!$B$24*Assumptions!$B$22,IF(B77="RECON",Assumptions!$B$22,0)))</f>
        <v>0</v>
      </c>
      <c r="P77" s="17">
        <f>IF(C77&lt;&gt;"OK","",IF(B77="INITIAL",(1-Assumptions!$B$21)*Assumptions!$B$24*(1-Assumptions!$B$22)*Assumptions!$B$25,IF(B77="RECON",(1-Assumptions!$B$22)*Assumptions!$B$25,1)))</f>
        <v>1</v>
      </c>
      <c r="Q77" s="17">
        <f>IF(C77&lt;&gt;"OK","",IF(B77="INITIAL",(1-Assumptions!$B$21)*(1-Assumptions!$B$24),0))</f>
        <v>0</v>
      </c>
      <c r="R77" s="17">
        <f>IF(C77&lt;&gt;"OK","",IF(B77="INITIAL",(1-Assumptions!$B$21)*Assumptions!$B$24*(1-Assumptions!$B$22)*(1-Assumptions!$B$25),IF(B77="RECON",(1-Assumptions!$B$22)*(1-Assumptions!$B$25),0)))</f>
        <v>0</v>
      </c>
      <c r="S77" s="17">
        <f>IF(C77&lt;&gt;"OK","",P77*Assumptions!$B$23)</f>
        <v>0.55000000000000004</v>
      </c>
      <c r="T77" s="17">
        <f>IF(C77&lt;&gt;"OK","",P77*(1-Assumptions!$B$23))</f>
        <v>0.44999999999999996</v>
      </c>
      <c r="U77" s="18">
        <f t="shared" si="5"/>
        <v>1</v>
      </c>
      <c r="V77" s="15" t="str">
        <f>IF(C77&lt;&gt;"OK","",IF(B77="INITIAL",EDATE(I77,Assumptions!$B$14),""))</f>
        <v/>
      </c>
      <c r="W77" s="15" t="str">
        <f>IF(C77&lt;&gt;"OK","",IF(B77="HEARING","",EDATE(J77,Assumptions!$B$14)))</f>
        <v/>
      </c>
      <c r="X77" s="15">
        <f>IF(C77&lt;&gt;"OK","",EDATE(M77,Assumptions!$B$16))</f>
        <v>46478</v>
      </c>
    </row>
    <row r="78" spans="1:24" ht="22" customHeight="1">
      <c r="A78" s="11" t="str">
        <f>IF('Case inputs'!A78="","",'Case inputs'!A78)</f>
        <v>A-023</v>
      </c>
      <c r="B78" s="11" t="str">
        <f>IF(A78="","",'Case inputs'!C78)</f>
        <v>HEARING</v>
      </c>
      <c r="C78" s="11" t="str">
        <f>IF('Case inputs'!I78="","",IF(Assumptions!$B$38&lt;&gt;"OK","ASSUMPTIONS INVALID",'Case inputs'!I78))</f>
        <v>OK</v>
      </c>
      <c r="D78" s="11">
        <f>IF(C78&lt;&gt;"OK","",VLOOKUP('Case inputs'!E78,Benchmarks!$A$6:$C$164,3,FALSE))</f>
        <v>8</v>
      </c>
      <c r="E78" s="11">
        <f>IF(C78&lt;&gt;"OK","",Assumptions!$B$5-'Case inputs'!D78)</f>
        <v>153</v>
      </c>
      <c r="F78" s="15">
        <f>IF(C78&lt;&gt;"OK","",IF(B78="INITIAL",'Case inputs'!D78+Assumptions!$B$10,IF(B78="RECON",'Case inputs'!D78+Assumptions!$B$11,EDATE('Case inputs'!D78,INT(D78))+ROUND(MOD(D78,1)*30.44,0))))</f>
        <v>46388</v>
      </c>
      <c r="G78" s="11" t="str">
        <f>IF(C78&lt;&gt;"OK","",IF(AND(B78="HEARING",'Case inputs'!F78&lt;&gt;"",'Case inputs'!F78&gt;=Assumptions!$B$5),"SCHEDULED",IF('Case inputs'!G78&lt;&gt;"","REVIEWED OVERRIDE",IF(F78&lt;Assumptions!$B$5,"OVERDUE: FUTURE WINDOW","BENCHMARK SCENARIO"))))</f>
        <v>BENCHMARK SCENARIO</v>
      </c>
      <c r="H78" s="15">
        <f>IF(C78&lt;&gt;"OK","",IF(G78="SCHEDULED",'Case inputs'!F78,IF('Case inputs'!G78&lt;&gt;"",'Case inputs'!G78,IF(F78&lt;Assumptions!$B$5,EDATE(Assumptions!$B$5,Assumptions!$B$17),F78))))</f>
        <v>46388</v>
      </c>
      <c r="I78" s="16" t="str">
        <f t="shared" si="4"/>
        <v/>
      </c>
      <c r="J78" s="15" t="str">
        <f>IF(C78&lt;&gt;"OK","",IF(B78="INITIAL",EDATE(I78,Assumptions!$B$12)+Assumptions!$B$11,IF(B78="RECON",H78,"")))</f>
        <v/>
      </c>
      <c r="K78" s="15">
        <f>IF(C78&lt;&gt;"OK","",IF(B78="HEARING",'Case inputs'!D78,EDATE(J78,Assumptions!$B$13)))</f>
        <v>46143</v>
      </c>
      <c r="L78" s="15">
        <f>IF(C78&lt;&gt;"OK","",IF(G78="SCHEDULED",H78,EDATE(IF(B78="HEARING",H78,EDATE(K78,INT(D78))+ROUND(MOD(D78,1)*30.44,0)),Assumptions!$B$18)))</f>
        <v>46388</v>
      </c>
      <c r="M78" s="15">
        <f>IF(C78&lt;&gt;"OK","",EDATE(L78,Assumptions!$B$15))</f>
        <v>46419</v>
      </c>
      <c r="N78" s="17">
        <f>IF(C78&lt;&gt;"OK","",IF(B78="INITIAL",Assumptions!$B$21,0))</f>
        <v>0</v>
      </c>
      <c r="O78" s="17">
        <f>IF(C78&lt;&gt;"OK","",IF(B78="INITIAL",(1-Assumptions!$B$21)*Assumptions!$B$24*Assumptions!$B$22,IF(B78="RECON",Assumptions!$B$22,0)))</f>
        <v>0</v>
      </c>
      <c r="P78" s="17">
        <f>IF(C78&lt;&gt;"OK","",IF(B78="INITIAL",(1-Assumptions!$B$21)*Assumptions!$B$24*(1-Assumptions!$B$22)*Assumptions!$B$25,IF(B78="RECON",(1-Assumptions!$B$22)*Assumptions!$B$25,1)))</f>
        <v>1</v>
      </c>
      <c r="Q78" s="17">
        <f>IF(C78&lt;&gt;"OK","",IF(B78="INITIAL",(1-Assumptions!$B$21)*(1-Assumptions!$B$24),0))</f>
        <v>0</v>
      </c>
      <c r="R78" s="17">
        <f>IF(C78&lt;&gt;"OK","",IF(B78="INITIAL",(1-Assumptions!$B$21)*Assumptions!$B$24*(1-Assumptions!$B$22)*(1-Assumptions!$B$25),IF(B78="RECON",(1-Assumptions!$B$22)*(1-Assumptions!$B$25),0)))</f>
        <v>0</v>
      </c>
      <c r="S78" s="17">
        <f>IF(C78&lt;&gt;"OK","",P78*Assumptions!$B$23)</f>
        <v>0.55000000000000004</v>
      </c>
      <c r="T78" s="17">
        <f>IF(C78&lt;&gt;"OK","",P78*(1-Assumptions!$B$23))</f>
        <v>0.44999999999999996</v>
      </c>
      <c r="U78" s="18">
        <f t="shared" si="5"/>
        <v>1</v>
      </c>
      <c r="V78" s="15" t="str">
        <f>IF(C78&lt;&gt;"OK","",IF(B78="INITIAL",EDATE(I78,Assumptions!$B$14),""))</f>
        <v/>
      </c>
      <c r="W78" s="15" t="str">
        <f>IF(C78&lt;&gt;"OK","",IF(B78="HEARING","",EDATE(J78,Assumptions!$B$14)))</f>
        <v/>
      </c>
      <c r="X78" s="15">
        <f>IF(C78&lt;&gt;"OK","",EDATE(M78,Assumptions!$B$16))</f>
        <v>46478</v>
      </c>
    </row>
    <row r="79" spans="1:24" ht="22" customHeight="1">
      <c r="A79" s="11" t="str">
        <f>IF('Case inputs'!A79="","",'Case inputs'!A79)</f>
        <v>A-024</v>
      </c>
      <c r="B79" s="11" t="str">
        <f>IF(A79="","",'Case inputs'!C79)</f>
        <v>HEARING</v>
      </c>
      <c r="C79" s="11" t="str">
        <f>IF('Case inputs'!I79="","",IF(Assumptions!$B$38&lt;&gt;"OK","ASSUMPTIONS INVALID",'Case inputs'!I79))</f>
        <v>OK</v>
      </c>
      <c r="D79" s="11">
        <f>IF(C79&lt;&gt;"OK","",VLOOKUP('Case inputs'!E79,Benchmarks!$A$6:$C$164,3,FALSE))</f>
        <v>8</v>
      </c>
      <c r="E79" s="11">
        <f>IF(C79&lt;&gt;"OK","",Assumptions!$B$5-'Case inputs'!D79)</f>
        <v>153</v>
      </c>
      <c r="F79" s="15">
        <f>IF(C79&lt;&gt;"OK","",IF(B79="INITIAL",'Case inputs'!D79+Assumptions!$B$10,IF(B79="RECON",'Case inputs'!D79+Assumptions!$B$11,EDATE('Case inputs'!D79,INT(D79))+ROUND(MOD(D79,1)*30.44,0))))</f>
        <v>46388</v>
      </c>
      <c r="G79" s="11" t="str">
        <f>IF(C79&lt;&gt;"OK","",IF(AND(B79="HEARING",'Case inputs'!F79&lt;&gt;"",'Case inputs'!F79&gt;=Assumptions!$B$5),"SCHEDULED",IF('Case inputs'!G79&lt;&gt;"","REVIEWED OVERRIDE",IF(F79&lt;Assumptions!$B$5,"OVERDUE: FUTURE WINDOW","BENCHMARK SCENARIO"))))</f>
        <v>BENCHMARK SCENARIO</v>
      </c>
      <c r="H79" s="15">
        <f>IF(C79&lt;&gt;"OK","",IF(G79="SCHEDULED",'Case inputs'!F79,IF('Case inputs'!G79&lt;&gt;"",'Case inputs'!G79,IF(F79&lt;Assumptions!$B$5,EDATE(Assumptions!$B$5,Assumptions!$B$17),F79))))</f>
        <v>46388</v>
      </c>
      <c r="I79" s="16" t="str">
        <f t="shared" si="4"/>
        <v/>
      </c>
      <c r="J79" s="15" t="str">
        <f>IF(C79&lt;&gt;"OK","",IF(B79="INITIAL",EDATE(I79,Assumptions!$B$12)+Assumptions!$B$11,IF(B79="RECON",H79,"")))</f>
        <v/>
      </c>
      <c r="K79" s="15">
        <f>IF(C79&lt;&gt;"OK","",IF(B79="HEARING",'Case inputs'!D79,EDATE(J79,Assumptions!$B$13)))</f>
        <v>46143</v>
      </c>
      <c r="L79" s="15">
        <f>IF(C79&lt;&gt;"OK","",IF(G79="SCHEDULED",H79,EDATE(IF(B79="HEARING",H79,EDATE(K79,INT(D79))+ROUND(MOD(D79,1)*30.44,0)),Assumptions!$B$18)))</f>
        <v>46388</v>
      </c>
      <c r="M79" s="15">
        <f>IF(C79&lt;&gt;"OK","",EDATE(L79,Assumptions!$B$15))</f>
        <v>46419</v>
      </c>
      <c r="N79" s="17">
        <f>IF(C79&lt;&gt;"OK","",IF(B79="INITIAL",Assumptions!$B$21,0))</f>
        <v>0</v>
      </c>
      <c r="O79" s="17">
        <f>IF(C79&lt;&gt;"OK","",IF(B79="INITIAL",(1-Assumptions!$B$21)*Assumptions!$B$24*Assumptions!$B$22,IF(B79="RECON",Assumptions!$B$22,0)))</f>
        <v>0</v>
      </c>
      <c r="P79" s="17">
        <f>IF(C79&lt;&gt;"OK","",IF(B79="INITIAL",(1-Assumptions!$B$21)*Assumptions!$B$24*(1-Assumptions!$B$22)*Assumptions!$B$25,IF(B79="RECON",(1-Assumptions!$B$22)*Assumptions!$B$25,1)))</f>
        <v>1</v>
      </c>
      <c r="Q79" s="17">
        <f>IF(C79&lt;&gt;"OK","",IF(B79="INITIAL",(1-Assumptions!$B$21)*(1-Assumptions!$B$24),0))</f>
        <v>0</v>
      </c>
      <c r="R79" s="17">
        <f>IF(C79&lt;&gt;"OK","",IF(B79="INITIAL",(1-Assumptions!$B$21)*Assumptions!$B$24*(1-Assumptions!$B$22)*(1-Assumptions!$B$25),IF(B79="RECON",(1-Assumptions!$B$22)*(1-Assumptions!$B$25),0)))</f>
        <v>0</v>
      </c>
      <c r="S79" s="17">
        <f>IF(C79&lt;&gt;"OK","",P79*Assumptions!$B$23)</f>
        <v>0.55000000000000004</v>
      </c>
      <c r="T79" s="17">
        <f>IF(C79&lt;&gt;"OK","",P79*(1-Assumptions!$B$23))</f>
        <v>0.44999999999999996</v>
      </c>
      <c r="U79" s="18">
        <f t="shared" si="5"/>
        <v>1</v>
      </c>
      <c r="V79" s="15" t="str">
        <f>IF(C79&lt;&gt;"OK","",IF(B79="INITIAL",EDATE(I79,Assumptions!$B$14),""))</f>
        <v/>
      </c>
      <c r="W79" s="15" t="str">
        <f>IF(C79&lt;&gt;"OK","",IF(B79="HEARING","",EDATE(J79,Assumptions!$B$14)))</f>
        <v/>
      </c>
      <c r="X79" s="15">
        <f>IF(C79&lt;&gt;"OK","",EDATE(M79,Assumptions!$B$16))</f>
        <v>46478</v>
      </c>
    </row>
    <row r="80" spans="1:24" ht="22" customHeight="1">
      <c r="A80" s="11" t="str">
        <f>IF('Case inputs'!A80="","",'Case inputs'!A80)</f>
        <v>A-025</v>
      </c>
      <c r="B80" s="11" t="str">
        <f>IF(A80="","",'Case inputs'!C80)</f>
        <v>HEARING</v>
      </c>
      <c r="C80" s="11" t="str">
        <f>IF('Case inputs'!I80="","",IF(Assumptions!$B$38&lt;&gt;"OK","ASSUMPTIONS INVALID",'Case inputs'!I80))</f>
        <v>OK</v>
      </c>
      <c r="D80" s="11">
        <f>IF(C80&lt;&gt;"OK","",VLOOKUP('Case inputs'!E80,Benchmarks!$A$6:$C$164,3,FALSE))</f>
        <v>8</v>
      </c>
      <c r="E80" s="11">
        <f>IF(C80&lt;&gt;"OK","",Assumptions!$B$5-'Case inputs'!D80)</f>
        <v>153</v>
      </c>
      <c r="F80" s="15">
        <f>IF(C80&lt;&gt;"OK","",IF(B80="INITIAL",'Case inputs'!D80+Assumptions!$B$10,IF(B80="RECON",'Case inputs'!D80+Assumptions!$B$11,EDATE('Case inputs'!D80,INT(D80))+ROUND(MOD(D80,1)*30.44,0))))</f>
        <v>46388</v>
      </c>
      <c r="G80" s="11" t="str">
        <f>IF(C80&lt;&gt;"OK","",IF(AND(B80="HEARING",'Case inputs'!F80&lt;&gt;"",'Case inputs'!F80&gt;=Assumptions!$B$5),"SCHEDULED",IF('Case inputs'!G80&lt;&gt;"","REVIEWED OVERRIDE",IF(F80&lt;Assumptions!$B$5,"OVERDUE: FUTURE WINDOW","BENCHMARK SCENARIO"))))</f>
        <v>BENCHMARK SCENARIO</v>
      </c>
      <c r="H80" s="15">
        <f>IF(C80&lt;&gt;"OK","",IF(G80="SCHEDULED",'Case inputs'!F80,IF('Case inputs'!G80&lt;&gt;"",'Case inputs'!G80,IF(F80&lt;Assumptions!$B$5,EDATE(Assumptions!$B$5,Assumptions!$B$17),F80))))</f>
        <v>46388</v>
      </c>
      <c r="I80" s="16" t="str">
        <f t="shared" si="4"/>
        <v/>
      </c>
      <c r="J80" s="15" t="str">
        <f>IF(C80&lt;&gt;"OK","",IF(B80="INITIAL",EDATE(I80,Assumptions!$B$12)+Assumptions!$B$11,IF(B80="RECON",H80,"")))</f>
        <v/>
      </c>
      <c r="K80" s="15">
        <f>IF(C80&lt;&gt;"OK","",IF(B80="HEARING",'Case inputs'!D80,EDATE(J80,Assumptions!$B$13)))</f>
        <v>46143</v>
      </c>
      <c r="L80" s="15">
        <f>IF(C80&lt;&gt;"OK","",IF(G80="SCHEDULED",H80,EDATE(IF(B80="HEARING",H80,EDATE(K80,INT(D80))+ROUND(MOD(D80,1)*30.44,0)),Assumptions!$B$18)))</f>
        <v>46388</v>
      </c>
      <c r="M80" s="15">
        <f>IF(C80&lt;&gt;"OK","",EDATE(L80,Assumptions!$B$15))</f>
        <v>46419</v>
      </c>
      <c r="N80" s="17">
        <f>IF(C80&lt;&gt;"OK","",IF(B80="INITIAL",Assumptions!$B$21,0))</f>
        <v>0</v>
      </c>
      <c r="O80" s="17">
        <f>IF(C80&lt;&gt;"OK","",IF(B80="INITIAL",(1-Assumptions!$B$21)*Assumptions!$B$24*Assumptions!$B$22,IF(B80="RECON",Assumptions!$B$22,0)))</f>
        <v>0</v>
      </c>
      <c r="P80" s="17">
        <f>IF(C80&lt;&gt;"OK","",IF(B80="INITIAL",(1-Assumptions!$B$21)*Assumptions!$B$24*(1-Assumptions!$B$22)*Assumptions!$B$25,IF(B80="RECON",(1-Assumptions!$B$22)*Assumptions!$B$25,1)))</f>
        <v>1</v>
      </c>
      <c r="Q80" s="17">
        <f>IF(C80&lt;&gt;"OK","",IF(B80="INITIAL",(1-Assumptions!$B$21)*(1-Assumptions!$B$24),0))</f>
        <v>0</v>
      </c>
      <c r="R80" s="17">
        <f>IF(C80&lt;&gt;"OK","",IF(B80="INITIAL",(1-Assumptions!$B$21)*Assumptions!$B$24*(1-Assumptions!$B$22)*(1-Assumptions!$B$25),IF(B80="RECON",(1-Assumptions!$B$22)*(1-Assumptions!$B$25),0)))</f>
        <v>0</v>
      </c>
      <c r="S80" s="17">
        <f>IF(C80&lt;&gt;"OK","",P80*Assumptions!$B$23)</f>
        <v>0.55000000000000004</v>
      </c>
      <c r="T80" s="17">
        <f>IF(C80&lt;&gt;"OK","",P80*(1-Assumptions!$B$23))</f>
        <v>0.44999999999999996</v>
      </c>
      <c r="U80" s="18">
        <f t="shared" si="5"/>
        <v>1</v>
      </c>
      <c r="V80" s="15" t="str">
        <f>IF(C80&lt;&gt;"OK","",IF(B80="INITIAL",EDATE(I80,Assumptions!$B$14),""))</f>
        <v/>
      </c>
      <c r="W80" s="15" t="str">
        <f>IF(C80&lt;&gt;"OK","",IF(B80="HEARING","",EDATE(J80,Assumptions!$B$14)))</f>
        <v/>
      </c>
      <c r="X80" s="15">
        <f>IF(C80&lt;&gt;"OK","",EDATE(M80,Assumptions!$B$16))</f>
        <v>46478</v>
      </c>
    </row>
    <row r="81" spans="1:24" ht="22" customHeight="1">
      <c r="A81" s="11" t="str">
        <f>IF('Case inputs'!A81="","",'Case inputs'!A81)</f>
        <v>A-026</v>
      </c>
      <c r="B81" s="11" t="str">
        <f>IF(A81="","",'Case inputs'!C81)</f>
        <v>HEARING</v>
      </c>
      <c r="C81" s="11" t="str">
        <f>IF('Case inputs'!I81="","",IF(Assumptions!$B$38&lt;&gt;"OK","ASSUMPTIONS INVALID",'Case inputs'!I81))</f>
        <v>OK</v>
      </c>
      <c r="D81" s="11">
        <f>IF(C81&lt;&gt;"OK","",VLOOKUP('Case inputs'!E81,Benchmarks!$A$6:$C$164,3,FALSE))</f>
        <v>8</v>
      </c>
      <c r="E81" s="11">
        <f>IF(C81&lt;&gt;"OK","",Assumptions!$B$5-'Case inputs'!D81)</f>
        <v>153</v>
      </c>
      <c r="F81" s="15">
        <f>IF(C81&lt;&gt;"OK","",IF(B81="INITIAL",'Case inputs'!D81+Assumptions!$B$10,IF(B81="RECON",'Case inputs'!D81+Assumptions!$B$11,EDATE('Case inputs'!D81,INT(D81))+ROUND(MOD(D81,1)*30.44,0))))</f>
        <v>46388</v>
      </c>
      <c r="G81" s="11" t="str">
        <f>IF(C81&lt;&gt;"OK","",IF(AND(B81="HEARING",'Case inputs'!F81&lt;&gt;"",'Case inputs'!F81&gt;=Assumptions!$B$5),"SCHEDULED",IF('Case inputs'!G81&lt;&gt;"","REVIEWED OVERRIDE",IF(F81&lt;Assumptions!$B$5,"OVERDUE: FUTURE WINDOW","BENCHMARK SCENARIO"))))</f>
        <v>BENCHMARK SCENARIO</v>
      </c>
      <c r="H81" s="15">
        <f>IF(C81&lt;&gt;"OK","",IF(G81="SCHEDULED",'Case inputs'!F81,IF('Case inputs'!G81&lt;&gt;"",'Case inputs'!G81,IF(F81&lt;Assumptions!$B$5,EDATE(Assumptions!$B$5,Assumptions!$B$17),F81))))</f>
        <v>46388</v>
      </c>
      <c r="I81" s="16" t="str">
        <f t="shared" si="4"/>
        <v/>
      </c>
      <c r="J81" s="15" t="str">
        <f>IF(C81&lt;&gt;"OK","",IF(B81="INITIAL",EDATE(I81,Assumptions!$B$12)+Assumptions!$B$11,IF(B81="RECON",H81,"")))</f>
        <v/>
      </c>
      <c r="K81" s="15">
        <f>IF(C81&lt;&gt;"OK","",IF(B81="HEARING",'Case inputs'!D81,EDATE(J81,Assumptions!$B$13)))</f>
        <v>46143</v>
      </c>
      <c r="L81" s="15">
        <f>IF(C81&lt;&gt;"OK","",IF(G81="SCHEDULED",H81,EDATE(IF(B81="HEARING",H81,EDATE(K81,INT(D81))+ROUND(MOD(D81,1)*30.44,0)),Assumptions!$B$18)))</f>
        <v>46388</v>
      </c>
      <c r="M81" s="15">
        <f>IF(C81&lt;&gt;"OK","",EDATE(L81,Assumptions!$B$15))</f>
        <v>46419</v>
      </c>
      <c r="N81" s="17">
        <f>IF(C81&lt;&gt;"OK","",IF(B81="INITIAL",Assumptions!$B$21,0))</f>
        <v>0</v>
      </c>
      <c r="O81" s="17">
        <f>IF(C81&lt;&gt;"OK","",IF(B81="INITIAL",(1-Assumptions!$B$21)*Assumptions!$B$24*Assumptions!$B$22,IF(B81="RECON",Assumptions!$B$22,0)))</f>
        <v>0</v>
      </c>
      <c r="P81" s="17">
        <f>IF(C81&lt;&gt;"OK","",IF(B81="INITIAL",(1-Assumptions!$B$21)*Assumptions!$B$24*(1-Assumptions!$B$22)*Assumptions!$B$25,IF(B81="RECON",(1-Assumptions!$B$22)*Assumptions!$B$25,1)))</f>
        <v>1</v>
      </c>
      <c r="Q81" s="17">
        <f>IF(C81&lt;&gt;"OK","",IF(B81="INITIAL",(1-Assumptions!$B$21)*(1-Assumptions!$B$24),0))</f>
        <v>0</v>
      </c>
      <c r="R81" s="17">
        <f>IF(C81&lt;&gt;"OK","",IF(B81="INITIAL",(1-Assumptions!$B$21)*Assumptions!$B$24*(1-Assumptions!$B$22)*(1-Assumptions!$B$25),IF(B81="RECON",(1-Assumptions!$B$22)*(1-Assumptions!$B$25),0)))</f>
        <v>0</v>
      </c>
      <c r="S81" s="17">
        <f>IF(C81&lt;&gt;"OK","",P81*Assumptions!$B$23)</f>
        <v>0.55000000000000004</v>
      </c>
      <c r="T81" s="17">
        <f>IF(C81&lt;&gt;"OK","",P81*(1-Assumptions!$B$23))</f>
        <v>0.44999999999999996</v>
      </c>
      <c r="U81" s="18">
        <f t="shared" si="5"/>
        <v>1</v>
      </c>
      <c r="V81" s="15" t="str">
        <f>IF(C81&lt;&gt;"OK","",IF(B81="INITIAL",EDATE(I81,Assumptions!$B$14),""))</f>
        <v/>
      </c>
      <c r="W81" s="15" t="str">
        <f>IF(C81&lt;&gt;"OK","",IF(B81="HEARING","",EDATE(J81,Assumptions!$B$14)))</f>
        <v/>
      </c>
      <c r="X81" s="15">
        <f>IF(C81&lt;&gt;"OK","",EDATE(M81,Assumptions!$B$16))</f>
        <v>46478</v>
      </c>
    </row>
    <row r="82" spans="1:24" ht="22" customHeight="1">
      <c r="A82" s="11" t="str">
        <f>IF('Case inputs'!A82="","",'Case inputs'!A82)</f>
        <v>A-027</v>
      </c>
      <c r="B82" s="11" t="str">
        <f>IF(A82="","",'Case inputs'!C82)</f>
        <v>HEARING</v>
      </c>
      <c r="C82" s="11" t="str">
        <f>IF('Case inputs'!I82="","",IF(Assumptions!$B$38&lt;&gt;"OK","ASSUMPTIONS INVALID",'Case inputs'!I82))</f>
        <v>OK</v>
      </c>
      <c r="D82" s="11">
        <f>IF(C82&lt;&gt;"OK","",VLOOKUP('Case inputs'!E82,Benchmarks!$A$6:$C$164,3,FALSE))</f>
        <v>8</v>
      </c>
      <c r="E82" s="11">
        <f>IF(C82&lt;&gt;"OK","",Assumptions!$B$5-'Case inputs'!D82)</f>
        <v>153</v>
      </c>
      <c r="F82" s="15">
        <f>IF(C82&lt;&gt;"OK","",IF(B82="INITIAL",'Case inputs'!D82+Assumptions!$B$10,IF(B82="RECON",'Case inputs'!D82+Assumptions!$B$11,EDATE('Case inputs'!D82,INT(D82))+ROUND(MOD(D82,1)*30.44,0))))</f>
        <v>46388</v>
      </c>
      <c r="G82" s="11" t="str">
        <f>IF(C82&lt;&gt;"OK","",IF(AND(B82="HEARING",'Case inputs'!F82&lt;&gt;"",'Case inputs'!F82&gt;=Assumptions!$B$5),"SCHEDULED",IF('Case inputs'!G82&lt;&gt;"","REVIEWED OVERRIDE",IF(F82&lt;Assumptions!$B$5,"OVERDUE: FUTURE WINDOW","BENCHMARK SCENARIO"))))</f>
        <v>BENCHMARK SCENARIO</v>
      </c>
      <c r="H82" s="15">
        <f>IF(C82&lt;&gt;"OK","",IF(G82="SCHEDULED",'Case inputs'!F82,IF('Case inputs'!G82&lt;&gt;"",'Case inputs'!G82,IF(F82&lt;Assumptions!$B$5,EDATE(Assumptions!$B$5,Assumptions!$B$17),F82))))</f>
        <v>46388</v>
      </c>
      <c r="I82" s="16" t="str">
        <f t="shared" si="4"/>
        <v/>
      </c>
      <c r="J82" s="15" t="str">
        <f>IF(C82&lt;&gt;"OK","",IF(B82="INITIAL",EDATE(I82,Assumptions!$B$12)+Assumptions!$B$11,IF(B82="RECON",H82,"")))</f>
        <v/>
      </c>
      <c r="K82" s="15">
        <f>IF(C82&lt;&gt;"OK","",IF(B82="HEARING",'Case inputs'!D82,EDATE(J82,Assumptions!$B$13)))</f>
        <v>46143</v>
      </c>
      <c r="L82" s="15">
        <f>IF(C82&lt;&gt;"OK","",IF(G82="SCHEDULED",H82,EDATE(IF(B82="HEARING",H82,EDATE(K82,INT(D82))+ROUND(MOD(D82,1)*30.44,0)),Assumptions!$B$18)))</f>
        <v>46388</v>
      </c>
      <c r="M82" s="15">
        <f>IF(C82&lt;&gt;"OK","",EDATE(L82,Assumptions!$B$15))</f>
        <v>46419</v>
      </c>
      <c r="N82" s="17">
        <f>IF(C82&lt;&gt;"OK","",IF(B82="INITIAL",Assumptions!$B$21,0))</f>
        <v>0</v>
      </c>
      <c r="O82" s="17">
        <f>IF(C82&lt;&gt;"OK","",IF(B82="INITIAL",(1-Assumptions!$B$21)*Assumptions!$B$24*Assumptions!$B$22,IF(B82="RECON",Assumptions!$B$22,0)))</f>
        <v>0</v>
      </c>
      <c r="P82" s="17">
        <f>IF(C82&lt;&gt;"OK","",IF(B82="INITIAL",(1-Assumptions!$B$21)*Assumptions!$B$24*(1-Assumptions!$B$22)*Assumptions!$B$25,IF(B82="RECON",(1-Assumptions!$B$22)*Assumptions!$B$25,1)))</f>
        <v>1</v>
      </c>
      <c r="Q82" s="17">
        <f>IF(C82&lt;&gt;"OK","",IF(B82="INITIAL",(1-Assumptions!$B$21)*(1-Assumptions!$B$24),0))</f>
        <v>0</v>
      </c>
      <c r="R82" s="17">
        <f>IF(C82&lt;&gt;"OK","",IF(B82="INITIAL",(1-Assumptions!$B$21)*Assumptions!$B$24*(1-Assumptions!$B$22)*(1-Assumptions!$B$25),IF(B82="RECON",(1-Assumptions!$B$22)*(1-Assumptions!$B$25),0)))</f>
        <v>0</v>
      </c>
      <c r="S82" s="17">
        <f>IF(C82&lt;&gt;"OK","",P82*Assumptions!$B$23)</f>
        <v>0.55000000000000004</v>
      </c>
      <c r="T82" s="17">
        <f>IF(C82&lt;&gt;"OK","",P82*(1-Assumptions!$B$23))</f>
        <v>0.44999999999999996</v>
      </c>
      <c r="U82" s="18">
        <f t="shared" si="5"/>
        <v>1</v>
      </c>
      <c r="V82" s="15" t="str">
        <f>IF(C82&lt;&gt;"OK","",IF(B82="INITIAL",EDATE(I82,Assumptions!$B$14),""))</f>
        <v/>
      </c>
      <c r="W82" s="15" t="str">
        <f>IF(C82&lt;&gt;"OK","",IF(B82="HEARING","",EDATE(J82,Assumptions!$B$14)))</f>
        <v/>
      </c>
      <c r="X82" s="15">
        <f>IF(C82&lt;&gt;"OK","",EDATE(M82,Assumptions!$B$16))</f>
        <v>46478</v>
      </c>
    </row>
    <row r="83" spans="1:24" ht="22" customHeight="1">
      <c r="A83" s="11" t="str">
        <f>IF('Case inputs'!A83="","",'Case inputs'!A83)</f>
        <v>A-028</v>
      </c>
      <c r="B83" s="11" t="str">
        <f>IF(A83="","",'Case inputs'!C83)</f>
        <v>HEARING</v>
      </c>
      <c r="C83" s="11" t="str">
        <f>IF('Case inputs'!I83="","",IF(Assumptions!$B$38&lt;&gt;"OK","ASSUMPTIONS INVALID",'Case inputs'!I83))</f>
        <v>OK</v>
      </c>
      <c r="D83" s="11">
        <f>IF(C83&lt;&gt;"OK","",VLOOKUP('Case inputs'!E83,Benchmarks!$A$6:$C$164,3,FALSE))</f>
        <v>8</v>
      </c>
      <c r="E83" s="11">
        <f>IF(C83&lt;&gt;"OK","",Assumptions!$B$5-'Case inputs'!D83)</f>
        <v>153</v>
      </c>
      <c r="F83" s="15">
        <f>IF(C83&lt;&gt;"OK","",IF(B83="INITIAL",'Case inputs'!D83+Assumptions!$B$10,IF(B83="RECON",'Case inputs'!D83+Assumptions!$B$11,EDATE('Case inputs'!D83,INT(D83))+ROUND(MOD(D83,1)*30.44,0))))</f>
        <v>46388</v>
      </c>
      <c r="G83" s="11" t="str">
        <f>IF(C83&lt;&gt;"OK","",IF(AND(B83="HEARING",'Case inputs'!F83&lt;&gt;"",'Case inputs'!F83&gt;=Assumptions!$B$5),"SCHEDULED",IF('Case inputs'!G83&lt;&gt;"","REVIEWED OVERRIDE",IF(F83&lt;Assumptions!$B$5,"OVERDUE: FUTURE WINDOW","BENCHMARK SCENARIO"))))</f>
        <v>BENCHMARK SCENARIO</v>
      </c>
      <c r="H83" s="15">
        <f>IF(C83&lt;&gt;"OK","",IF(G83="SCHEDULED",'Case inputs'!F83,IF('Case inputs'!G83&lt;&gt;"",'Case inputs'!G83,IF(F83&lt;Assumptions!$B$5,EDATE(Assumptions!$B$5,Assumptions!$B$17),F83))))</f>
        <v>46388</v>
      </c>
      <c r="I83" s="16" t="str">
        <f t="shared" si="4"/>
        <v/>
      </c>
      <c r="J83" s="15" t="str">
        <f>IF(C83&lt;&gt;"OK","",IF(B83="INITIAL",EDATE(I83,Assumptions!$B$12)+Assumptions!$B$11,IF(B83="RECON",H83,"")))</f>
        <v/>
      </c>
      <c r="K83" s="15">
        <f>IF(C83&lt;&gt;"OK","",IF(B83="HEARING",'Case inputs'!D83,EDATE(J83,Assumptions!$B$13)))</f>
        <v>46143</v>
      </c>
      <c r="L83" s="15">
        <f>IF(C83&lt;&gt;"OK","",IF(G83="SCHEDULED",H83,EDATE(IF(B83="HEARING",H83,EDATE(K83,INT(D83))+ROUND(MOD(D83,1)*30.44,0)),Assumptions!$B$18)))</f>
        <v>46388</v>
      </c>
      <c r="M83" s="15">
        <f>IF(C83&lt;&gt;"OK","",EDATE(L83,Assumptions!$B$15))</f>
        <v>46419</v>
      </c>
      <c r="N83" s="17">
        <f>IF(C83&lt;&gt;"OK","",IF(B83="INITIAL",Assumptions!$B$21,0))</f>
        <v>0</v>
      </c>
      <c r="O83" s="17">
        <f>IF(C83&lt;&gt;"OK","",IF(B83="INITIAL",(1-Assumptions!$B$21)*Assumptions!$B$24*Assumptions!$B$22,IF(B83="RECON",Assumptions!$B$22,0)))</f>
        <v>0</v>
      </c>
      <c r="P83" s="17">
        <f>IF(C83&lt;&gt;"OK","",IF(B83="INITIAL",(1-Assumptions!$B$21)*Assumptions!$B$24*(1-Assumptions!$B$22)*Assumptions!$B$25,IF(B83="RECON",(1-Assumptions!$B$22)*Assumptions!$B$25,1)))</f>
        <v>1</v>
      </c>
      <c r="Q83" s="17">
        <f>IF(C83&lt;&gt;"OK","",IF(B83="INITIAL",(1-Assumptions!$B$21)*(1-Assumptions!$B$24),0))</f>
        <v>0</v>
      </c>
      <c r="R83" s="17">
        <f>IF(C83&lt;&gt;"OK","",IF(B83="INITIAL",(1-Assumptions!$B$21)*Assumptions!$B$24*(1-Assumptions!$B$22)*(1-Assumptions!$B$25),IF(B83="RECON",(1-Assumptions!$B$22)*(1-Assumptions!$B$25),0)))</f>
        <v>0</v>
      </c>
      <c r="S83" s="17">
        <f>IF(C83&lt;&gt;"OK","",P83*Assumptions!$B$23)</f>
        <v>0.55000000000000004</v>
      </c>
      <c r="T83" s="17">
        <f>IF(C83&lt;&gt;"OK","",P83*(1-Assumptions!$B$23))</f>
        <v>0.44999999999999996</v>
      </c>
      <c r="U83" s="18">
        <f t="shared" si="5"/>
        <v>1</v>
      </c>
      <c r="V83" s="15" t="str">
        <f>IF(C83&lt;&gt;"OK","",IF(B83="INITIAL",EDATE(I83,Assumptions!$B$14),""))</f>
        <v/>
      </c>
      <c r="W83" s="15" t="str">
        <f>IF(C83&lt;&gt;"OK","",IF(B83="HEARING","",EDATE(J83,Assumptions!$B$14)))</f>
        <v/>
      </c>
      <c r="X83" s="15">
        <f>IF(C83&lt;&gt;"OK","",EDATE(M83,Assumptions!$B$16))</f>
        <v>46478</v>
      </c>
    </row>
    <row r="84" spans="1:24" ht="22" customHeight="1">
      <c r="A84" s="11" t="str">
        <f>IF('Case inputs'!A84="","",'Case inputs'!A84)</f>
        <v>A-029</v>
      </c>
      <c r="B84" s="11" t="str">
        <f>IF(A84="","",'Case inputs'!C84)</f>
        <v>HEARING</v>
      </c>
      <c r="C84" s="11" t="str">
        <f>IF('Case inputs'!I84="","",IF(Assumptions!$B$38&lt;&gt;"OK","ASSUMPTIONS INVALID",'Case inputs'!I84))</f>
        <v>OK</v>
      </c>
      <c r="D84" s="11">
        <f>IF(C84&lt;&gt;"OK","",VLOOKUP('Case inputs'!E84,Benchmarks!$A$6:$C$164,3,FALSE))</f>
        <v>8</v>
      </c>
      <c r="E84" s="11">
        <f>IF(C84&lt;&gt;"OK","",Assumptions!$B$5-'Case inputs'!D84)</f>
        <v>153</v>
      </c>
      <c r="F84" s="15">
        <f>IF(C84&lt;&gt;"OK","",IF(B84="INITIAL",'Case inputs'!D84+Assumptions!$B$10,IF(B84="RECON",'Case inputs'!D84+Assumptions!$B$11,EDATE('Case inputs'!D84,INT(D84))+ROUND(MOD(D84,1)*30.44,0))))</f>
        <v>46388</v>
      </c>
      <c r="G84" s="11" t="str">
        <f>IF(C84&lt;&gt;"OK","",IF(AND(B84="HEARING",'Case inputs'!F84&lt;&gt;"",'Case inputs'!F84&gt;=Assumptions!$B$5),"SCHEDULED",IF('Case inputs'!G84&lt;&gt;"","REVIEWED OVERRIDE",IF(F84&lt;Assumptions!$B$5,"OVERDUE: FUTURE WINDOW","BENCHMARK SCENARIO"))))</f>
        <v>BENCHMARK SCENARIO</v>
      </c>
      <c r="H84" s="15">
        <f>IF(C84&lt;&gt;"OK","",IF(G84="SCHEDULED",'Case inputs'!F84,IF('Case inputs'!G84&lt;&gt;"",'Case inputs'!G84,IF(F84&lt;Assumptions!$B$5,EDATE(Assumptions!$B$5,Assumptions!$B$17),F84))))</f>
        <v>46388</v>
      </c>
      <c r="I84" s="16" t="str">
        <f t="shared" si="4"/>
        <v/>
      </c>
      <c r="J84" s="15" t="str">
        <f>IF(C84&lt;&gt;"OK","",IF(B84="INITIAL",EDATE(I84,Assumptions!$B$12)+Assumptions!$B$11,IF(B84="RECON",H84,"")))</f>
        <v/>
      </c>
      <c r="K84" s="15">
        <f>IF(C84&lt;&gt;"OK","",IF(B84="HEARING",'Case inputs'!D84,EDATE(J84,Assumptions!$B$13)))</f>
        <v>46143</v>
      </c>
      <c r="L84" s="15">
        <f>IF(C84&lt;&gt;"OK","",IF(G84="SCHEDULED",H84,EDATE(IF(B84="HEARING",H84,EDATE(K84,INT(D84))+ROUND(MOD(D84,1)*30.44,0)),Assumptions!$B$18)))</f>
        <v>46388</v>
      </c>
      <c r="M84" s="15">
        <f>IF(C84&lt;&gt;"OK","",EDATE(L84,Assumptions!$B$15))</f>
        <v>46419</v>
      </c>
      <c r="N84" s="17">
        <f>IF(C84&lt;&gt;"OK","",IF(B84="INITIAL",Assumptions!$B$21,0))</f>
        <v>0</v>
      </c>
      <c r="O84" s="17">
        <f>IF(C84&lt;&gt;"OK","",IF(B84="INITIAL",(1-Assumptions!$B$21)*Assumptions!$B$24*Assumptions!$B$22,IF(B84="RECON",Assumptions!$B$22,0)))</f>
        <v>0</v>
      </c>
      <c r="P84" s="17">
        <f>IF(C84&lt;&gt;"OK","",IF(B84="INITIAL",(1-Assumptions!$B$21)*Assumptions!$B$24*(1-Assumptions!$B$22)*Assumptions!$B$25,IF(B84="RECON",(1-Assumptions!$B$22)*Assumptions!$B$25,1)))</f>
        <v>1</v>
      </c>
      <c r="Q84" s="17">
        <f>IF(C84&lt;&gt;"OK","",IF(B84="INITIAL",(1-Assumptions!$B$21)*(1-Assumptions!$B$24),0))</f>
        <v>0</v>
      </c>
      <c r="R84" s="17">
        <f>IF(C84&lt;&gt;"OK","",IF(B84="INITIAL",(1-Assumptions!$B$21)*Assumptions!$B$24*(1-Assumptions!$B$22)*(1-Assumptions!$B$25),IF(B84="RECON",(1-Assumptions!$B$22)*(1-Assumptions!$B$25),0)))</f>
        <v>0</v>
      </c>
      <c r="S84" s="17">
        <f>IF(C84&lt;&gt;"OK","",P84*Assumptions!$B$23)</f>
        <v>0.55000000000000004</v>
      </c>
      <c r="T84" s="17">
        <f>IF(C84&lt;&gt;"OK","",P84*(1-Assumptions!$B$23))</f>
        <v>0.44999999999999996</v>
      </c>
      <c r="U84" s="18">
        <f t="shared" si="5"/>
        <v>1</v>
      </c>
      <c r="V84" s="15" t="str">
        <f>IF(C84&lt;&gt;"OK","",IF(B84="INITIAL",EDATE(I84,Assumptions!$B$14),""))</f>
        <v/>
      </c>
      <c r="W84" s="15" t="str">
        <f>IF(C84&lt;&gt;"OK","",IF(B84="HEARING","",EDATE(J84,Assumptions!$B$14)))</f>
        <v/>
      </c>
      <c r="X84" s="15">
        <f>IF(C84&lt;&gt;"OK","",EDATE(M84,Assumptions!$B$16))</f>
        <v>46478</v>
      </c>
    </row>
    <row r="85" spans="1:24" ht="22" customHeight="1">
      <c r="A85" s="11" t="str">
        <f>IF('Case inputs'!A85="","",'Case inputs'!A85)</f>
        <v>A-030</v>
      </c>
      <c r="B85" s="11" t="str">
        <f>IF(A85="","",'Case inputs'!C85)</f>
        <v>HEARING</v>
      </c>
      <c r="C85" s="11" t="str">
        <f>IF('Case inputs'!I85="","",IF(Assumptions!$B$38&lt;&gt;"OK","ASSUMPTIONS INVALID",'Case inputs'!I85))</f>
        <v>OK</v>
      </c>
      <c r="D85" s="11">
        <f>IF(C85&lt;&gt;"OK","",VLOOKUP('Case inputs'!E85,Benchmarks!$A$6:$C$164,3,FALSE))</f>
        <v>8</v>
      </c>
      <c r="E85" s="11">
        <f>IF(C85&lt;&gt;"OK","",Assumptions!$B$5-'Case inputs'!D85)</f>
        <v>153</v>
      </c>
      <c r="F85" s="15">
        <f>IF(C85&lt;&gt;"OK","",IF(B85="INITIAL",'Case inputs'!D85+Assumptions!$B$10,IF(B85="RECON",'Case inputs'!D85+Assumptions!$B$11,EDATE('Case inputs'!D85,INT(D85))+ROUND(MOD(D85,1)*30.44,0))))</f>
        <v>46388</v>
      </c>
      <c r="G85" s="11" t="str">
        <f>IF(C85&lt;&gt;"OK","",IF(AND(B85="HEARING",'Case inputs'!F85&lt;&gt;"",'Case inputs'!F85&gt;=Assumptions!$B$5),"SCHEDULED",IF('Case inputs'!G85&lt;&gt;"","REVIEWED OVERRIDE",IF(F85&lt;Assumptions!$B$5,"OVERDUE: FUTURE WINDOW","BENCHMARK SCENARIO"))))</f>
        <v>BENCHMARK SCENARIO</v>
      </c>
      <c r="H85" s="15">
        <f>IF(C85&lt;&gt;"OK","",IF(G85="SCHEDULED",'Case inputs'!F85,IF('Case inputs'!G85&lt;&gt;"",'Case inputs'!G85,IF(F85&lt;Assumptions!$B$5,EDATE(Assumptions!$B$5,Assumptions!$B$17),F85))))</f>
        <v>46388</v>
      </c>
      <c r="I85" s="16" t="str">
        <f t="shared" si="4"/>
        <v/>
      </c>
      <c r="J85" s="15" t="str">
        <f>IF(C85&lt;&gt;"OK","",IF(B85="INITIAL",EDATE(I85,Assumptions!$B$12)+Assumptions!$B$11,IF(B85="RECON",H85,"")))</f>
        <v/>
      </c>
      <c r="K85" s="15">
        <f>IF(C85&lt;&gt;"OK","",IF(B85="HEARING",'Case inputs'!D85,EDATE(J85,Assumptions!$B$13)))</f>
        <v>46143</v>
      </c>
      <c r="L85" s="15">
        <f>IF(C85&lt;&gt;"OK","",IF(G85="SCHEDULED",H85,EDATE(IF(B85="HEARING",H85,EDATE(K85,INT(D85))+ROUND(MOD(D85,1)*30.44,0)),Assumptions!$B$18)))</f>
        <v>46388</v>
      </c>
      <c r="M85" s="15">
        <f>IF(C85&lt;&gt;"OK","",EDATE(L85,Assumptions!$B$15))</f>
        <v>46419</v>
      </c>
      <c r="N85" s="17">
        <f>IF(C85&lt;&gt;"OK","",IF(B85="INITIAL",Assumptions!$B$21,0))</f>
        <v>0</v>
      </c>
      <c r="O85" s="17">
        <f>IF(C85&lt;&gt;"OK","",IF(B85="INITIAL",(1-Assumptions!$B$21)*Assumptions!$B$24*Assumptions!$B$22,IF(B85="RECON",Assumptions!$B$22,0)))</f>
        <v>0</v>
      </c>
      <c r="P85" s="17">
        <f>IF(C85&lt;&gt;"OK","",IF(B85="INITIAL",(1-Assumptions!$B$21)*Assumptions!$B$24*(1-Assumptions!$B$22)*Assumptions!$B$25,IF(B85="RECON",(1-Assumptions!$B$22)*Assumptions!$B$25,1)))</f>
        <v>1</v>
      </c>
      <c r="Q85" s="17">
        <f>IF(C85&lt;&gt;"OK","",IF(B85="INITIAL",(1-Assumptions!$B$21)*(1-Assumptions!$B$24),0))</f>
        <v>0</v>
      </c>
      <c r="R85" s="17">
        <f>IF(C85&lt;&gt;"OK","",IF(B85="INITIAL",(1-Assumptions!$B$21)*Assumptions!$B$24*(1-Assumptions!$B$22)*(1-Assumptions!$B$25),IF(B85="RECON",(1-Assumptions!$B$22)*(1-Assumptions!$B$25),0)))</f>
        <v>0</v>
      </c>
      <c r="S85" s="17">
        <f>IF(C85&lt;&gt;"OK","",P85*Assumptions!$B$23)</f>
        <v>0.55000000000000004</v>
      </c>
      <c r="T85" s="17">
        <f>IF(C85&lt;&gt;"OK","",P85*(1-Assumptions!$B$23))</f>
        <v>0.44999999999999996</v>
      </c>
      <c r="U85" s="18">
        <f t="shared" si="5"/>
        <v>1</v>
      </c>
      <c r="V85" s="15" t="str">
        <f>IF(C85&lt;&gt;"OK","",IF(B85="INITIAL",EDATE(I85,Assumptions!$B$14),""))</f>
        <v/>
      </c>
      <c r="W85" s="15" t="str">
        <f>IF(C85&lt;&gt;"OK","",IF(B85="HEARING","",EDATE(J85,Assumptions!$B$14)))</f>
        <v/>
      </c>
      <c r="X85" s="15">
        <f>IF(C85&lt;&gt;"OK","",EDATE(M85,Assumptions!$B$16))</f>
        <v>46478</v>
      </c>
    </row>
    <row r="86" spans="1:24" ht="22" customHeight="1">
      <c r="A86" s="11" t="str">
        <f>IF('Case inputs'!A86="","",'Case inputs'!A86)</f>
        <v>O-001</v>
      </c>
      <c r="B86" s="11" t="str">
        <f>IF(A86="","",'Case inputs'!C86)</f>
        <v>HEARING</v>
      </c>
      <c r="C86" s="11" t="str">
        <f>IF('Case inputs'!I86="","",IF(Assumptions!$B$38&lt;&gt;"OK","ASSUMPTIONS INVALID",'Case inputs'!I86))</f>
        <v>OK</v>
      </c>
      <c r="D86" s="11">
        <f>IF(C86&lt;&gt;"OK","",VLOOKUP('Case inputs'!E86,Benchmarks!$A$6:$C$164,3,FALSE))</f>
        <v>8</v>
      </c>
      <c r="E86" s="11">
        <f>IF(C86&lt;&gt;"OK","",Assumptions!$B$5-'Case inputs'!D86)</f>
        <v>273</v>
      </c>
      <c r="F86" s="15">
        <f>IF(C86&lt;&gt;"OK","",IF(B86="INITIAL",'Case inputs'!D86+Assumptions!$B$10,IF(B86="RECON",'Case inputs'!D86+Assumptions!$B$11,EDATE('Case inputs'!D86,INT(D86))+ROUND(MOD(D86,1)*30.44,0))))</f>
        <v>46266</v>
      </c>
      <c r="G86" s="11" t="str">
        <f>IF(C86&lt;&gt;"OK","",IF(AND(B86="HEARING",'Case inputs'!F86&lt;&gt;"",'Case inputs'!F86&gt;=Assumptions!$B$5),"SCHEDULED",IF('Case inputs'!G86&lt;&gt;"","REVIEWED OVERRIDE",IF(F86&lt;Assumptions!$B$5,"OVERDUE: FUTURE WINDOW","BENCHMARK SCENARIO"))))</f>
        <v>OVERDUE: FUTURE WINDOW</v>
      </c>
      <c r="H86" s="15">
        <f>IF(C86&lt;&gt;"OK","",IF(G86="SCHEDULED",'Case inputs'!F86,IF('Case inputs'!G86&lt;&gt;"",'Case inputs'!G86,IF(F86&lt;Assumptions!$B$5,EDATE(Assumptions!$B$5,Assumptions!$B$17),F86))))</f>
        <v>46357</v>
      </c>
      <c r="I86" s="16" t="str">
        <f t="shared" si="4"/>
        <v/>
      </c>
      <c r="J86" s="15" t="str">
        <f>IF(C86&lt;&gt;"OK","",IF(B86="INITIAL",EDATE(I86,Assumptions!$B$12)+Assumptions!$B$11,IF(B86="RECON",H86,"")))</f>
        <v/>
      </c>
      <c r="K86" s="15">
        <f>IF(C86&lt;&gt;"OK","",IF(B86="HEARING",'Case inputs'!D86,EDATE(J86,Assumptions!$B$13)))</f>
        <v>46023</v>
      </c>
      <c r="L86" s="15">
        <f>IF(C86&lt;&gt;"OK","",IF(G86="SCHEDULED",H86,EDATE(IF(B86="HEARING",H86,EDATE(K86,INT(D86))+ROUND(MOD(D86,1)*30.44,0)),Assumptions!$B$18)))</f>
        <v>46357</v>
      </c>
      <c r="M86" s="15">
        <f>IF(C86&lt;&gt;"OK","",EDATE(L86,Assumptions!$B$15))</f>
        <v>46388</v>
      </c>
      <c r="N86" s="17">
        <f>IF(C86&lt;&gt;"OK","",IF(B86="INITIAL",Assumptions!$B$21,0))</f>
        <v>0</v>
      </c>
      <c r="O86" s="17">
        <f>IF(C86&lt;&gt;"OK","",IF(B86="INITIAL",(1-Assumptions!$B$21)*Assumptions!$B$24*Assumptions!$B$22,IF(B86="RECON",Assumptions!$B$22,0)))</f>
        <v>0</v>
      </c>
      <c r="P86" s="17">
        <f>IF(C86&lt;&gt;"OK","",IF(B86="INITIAL",(1-Assumptions!$B$21)*Assumptions!$B$24*(1-Assumptions!$B$22)*Assumptions!$B$25,IF(B86="RECON",(1-Assumptions!$B$22)*Assumptions!$B$25,1)))</f>
        <v>1</v>
      </c>
      <c r="Q86" s="17">
        <f>IF(C86&lt;&gt;"OK","",IF(B86="INITIAL",(1-Assumptions!$B$21)*(1-Assumptions!$B$24),0))</f>
        <v>0</v>
      </c>
      <c r="R86" s="17">
        <f>IF(C86&lt;&gt;"OK","",IF(B86="INITIAL",(1-Assumptions!$B$21)*Assumptions!$B$24*(1-Assumptions!$B$22)*(1-Assumptions!$B$25),IF(B86="RECON",(1-Assumptions!$B$22)*(1-Assumptions!$B$25),0)))</f>
        <v>0</v>
      </c>
      <c r="S86" s="17">
        <f>IF(C86&lt;&gt;"OK","",P86*Assumptions!$B$23)</f>
        <v>0.55000000000000004</v>
      </c>
      <c r="T86" s="17">
        <f>IF(C86&lt;&gt;"OK","",P86*(1-Assumptions!$B$23))</f>
        <v>0.44999999999999996</v>
      </c>
      <c r="U86" s="18">
        <f t="shared" si="5"/>
        <v>1</v>
      </c>
      <c r="V86" s="15" t="str">
        <f>IF(C86&lt;&gt;"OK","",IF(B86="INITIAL",EDATE(I86,Assumptions!$B$14),""))</f>
        <v/>
      </c>
      <c r="W86" s="15" t="str">
        <f>IF(C86&lt;&gt;"OK","",IF(B86="HEARING","",EDATE(J86,Assumptions!$B$14)))</f>
        <v/>
      </c>
      <c r="X86" s="15">
        <f>IF(C86&lt;&gt;"OK","",EDATE(M86,Assumptions!$B$16))</f>
        <v>46447</v>
      </c>
    </row>
    <row r="87" spans="1:24" ht="22" customHeight="1">
      <c r="A87" s="11" t="str">
        <f>IF('Case inputs'!A87="","",'Case inputs'!A87)</f>
        <v>O-002</v>
      </c>
      <c r="B87" s="11" t="str">
        <f>IF(A87="","",'Case inputs'!C87)</f>
        <v>HEARING</v>
      </c>
      <c r="C87" s="11" t="str">
        <f>IF('Case inputs'!I87="","",IF(Assumptions!$B$38&lt;&gt;"OK","ASSUMPTIONS INVALID",'Case inputs'!I87))</f>
        <v>OK</v>
      </c>
      <c r="D87" s="11">
        <f>IF(C87&lt;&gt;"OK","",VLOOKUP('Case inputs'!E87,Benchmarks!$A$6:$C$164,3,FALSE))</f>
        <v>8</v>
      </c>
      <c r="E87" s="11">
        <f>IF(C87&lt;&gt;"OK","",Assumptions!$B$5-'Case inputs'!D87)</f>
        <v>273</v>
      </c>
      <c r="F87" s="15">
        <f>IF(C87&lt;&gt;"OK","",IF(B87="INITIAL",'Case inputs'!D87+Assumptions!$B$10,IF(B87="RECON",'Case inputs'!D87+Assumptions!$B$11,EDATE('Case inputs'!D87,INT(D87))+ROUND(MOD(D87,1)*30.44,0))))</f>
        <v>46266</v>
      </c>
      <c r="G87" s="11" t="str">
        <f>IF(C87&lt;&gt;"OK","",IF(AND(B87="HEARING",'Case inputs'!F87&lt;&gt;"",'Case inputs'!F87&gt;=Assumptions!$B$5),"SCHEDULED",IF('Case inputs'!G87&lt;&gt;"","REVIEWED OVERRIDE",IF(F87&lt;Assumptions!$B$5,"OVERDUE: FUTURE WINDOW","BENCHMARK SCENARIO"))))</f>
        <v>OVERDUE: FUTURE WINDOW</v>
      </c>
      <c r="H87" s="15">
        <f>IF(C87&lt;&gt;"OK","",IF(G87="SCHEDULED",'Case inputs'!F87,IF('Case inputs'!G87&lt;&gt;"",'Case inputs'!G87,IF(F87&lt;Assumptions!$B$5,EDATE(Assumptions!$B$5,Assumptions!$B$17),F87))))</f>
        <v>46357</v>
      </c>
      <c r="I87" s="16" t="str">
        <f t="shared" si="4"/>
        <v/>
      </c>
      <c r="J87" s="15" t="str">
        <f>IF(C87&lt;&gt;"OK","",IF(B87="INITIAL",EDATE(I87,Assumptions!$B$12)+Assumptions!$B$11,IF(B87="RECON",H87,"")))</f>
        <v/>
      </c>
      <c r="K87" s="15">
        <f>IF(C87&lt;&gt;"OK","",IF(B87="HEARING",'Case inputs'!D87,EDATE(J87,Assumptions!$B$13)))</f>
        <v>46023</v>
      </c>
      <c r="L87" s="15">
        <f>IF(C87&lt;&gt;"OK","",IF(G87="SCHEDULED",H87,EDATE(IF(B87="HEARING",H87,EDATE(K87,INT(D87))+ROUND(MOD(D87,1)*30.44,0)),Assumptions!$B$18)))</f>
        <v>46357</v>
      </c>
      <c r="M87" s="15">
        <f>IF(C87&lt;&gt;"OK","",EDATE(L87,Assumptions!$B$15))</f>
        <v>46388</v>
      </c>
      <c r="N87" s="17">
        <f>IF(C87&lt;&gt;"OK","",IF(B87="INITIAL",Assumptions!$B$21,0))</f>
        <v>0</v>
      </c>
      <c r="O87" s="17">
        <f>IF(C87&lt;&gt;"OK","",IF(B87="INITIAL",(1-Assumptions!$B$21)*Assumptions!$B$24*Assumptions!$B$22,IF(B87="RECON",Assumptions!$B$22,0)))</f>
        <v>0</v>
      </c>
      <c r="P87" s="17">
        <f>IF(C87&lt;&gt;"OK","",IF(B87="INITIAL",(1-Assumptions!$B$21)*Assumptions!$B$24*(1-Assumptions!$B$22)*Assumptions!$B$25,IF(B87="RECON",(1-Assumptions!$B$22)*Assumptions!$B$25,1)))</f>
        <v>1</v>
      </c>
      <c r="Q87" s="17">
        <f>IF(C87&lt;&gt;"OK","",IF(B87="INITIAL",(1-Assumptions!$B$21)*(1-Assumptions!$B$24),0))</f>
        <v>0</v>
      </c>
      <c r="R87" s="17">
        <f>IF(C87&lt;&gt;"OK","",IF(B87="INITIAL",(1-Assumptions!$B$21)*Assumptions!$B$24*(1-Assumptions!$B$22)*(1-Assumptions!$B$25),IF(B87="RECON",(1-Assumptions!$B$22)*(1-Assumptions!$B$25),0)))</f>
        <v>0</v>
      </c>
      <c r="S87" s="17">
        <f>IF(C87&lt;&gt;"OK","",P87*Assumptions!$B$23)</f>
        <v>0.55000000000000004</v>
      </c>
      <c r="T87" s="17">
        <f>IF(C87&lt;&gt;"OK","",P87*(1-Assumptions!$B$23))</f>
        <v>0.44999999999999996</v>
      </c>
      <c r="U87" s="18">
        <f t="shared" si="5"/>
        <v>1</v>
      </c>
      <c r="V87" s="15" t="str">
        <f>IF(C87&lt;&gt;"OK","",IF(B87="INITIAL",EDATE(I87,Assumptions!$B$14),""))</f>
        <v/>
      </c>
      <c r="W87" s="15" t="str">
        <f>IF(C87&lt;&gt;"OK","",IF(B87="HEARING","",EDATE(J87,Assumptions!$B$14)))</f>
        <v/>
      </c>
      <c r="X87" s="15">
        <f>IF(C87&lt;&gt;"OK","",EDATE(M87,Assumptions!$B$16))</f>
        <v>46447</v>
      </c>
    </row>
    <row r="88" spans="1:24" ht="22" customHeight="1">
      <c r="A88" s="11" t="str">
        <f>IF('Case inputs'!A88="","",'Case inputs'!A88)</f>
        <v>O-003</v>
      </c>
      <c r="B88" s="11" t="str">
        <f>IF(A88="","",'Case inputs'!C88)</f>
        <v>HEARING</v>
      </c>
      <c r="C88" s="11" t="str">
        <f>IF('Case inputs'!I88="","",IF(Assumptions!$B$38&lt;&gt;"OK","ASSUMPTIONS INVALID",'Case inputs'!I88))</f>
        <v>OK</v>
      </c>
      <c r="D88" s="11">
        <f>IF(C88&lt;&gt;"OK","",VLOOKUP('Case inputs'!E88,Benchmarks!$A$6:$C$164,3,FALSE))</f>
        <v>8</v>
      </c>
      <c r="E88" s="11">
        <f>IF(C88&lt;&gt;"OK","",Assumptions!$B$5-'Case inputs'!D88)</f>
        <v>273</v>
      </c>
      <c r="F88" s="15">
        <f>IF(C88&lt;&gt;"OK","",IF(B88="INITIAL",'Case inputs'!D88+Assumptions!$B$10,IF(B88="RECON",'Case inputs'!D88+Assumptions!$B$11,EDATE('Case inputs'!D88,INT(D88))+ROUND(MOD(D88,1)*30.44,0))))</f>
        <v>46266</v>
      </c>
      <c r="G88" s="11" t="str">
        <f>IF(C88&lt;&gt;"OK","",IF(AND(B88="HEARING",'Case inputs'!F88&lt;&gt;"",'Case inputs'!F88&gt;=Assumptions!$B$5),"SCHEDULED",IF('Case inputs'!G88&lt;&gt;"","REVIEWED OVERRIDE",IF(F88&lt;Assumptions!$B$5,"OVERDUE: FUTURE WINDOW","BENCHMARK SCENARIO"))))</f>
        <v>OVERDUE: FUTURE WINDOW</v>
      </c>
      <c r="H88" s="15">
        <f>IF(C88&lt;&gt;"OK","",IF(G88="SCHEDULED",'Case inputs'!F88,IF('Case inputs'!G88&lt;&gt;"",'Case inputs'!G88,IF(F88&lt;Assumptions!$B$5,EDATE(Assumptions!$B$5,Assumptions!$B$17),F88))))</f>
        <v>46357</v>
      </c>
      <c r="I88" s="16" t="str">
        <f t="shared" si="4"/>
        <v/>
      </c>
      <c r="J88" s="15" t="str">
        <f>IF(C88&lt;&gt;"OK","",IF(B88="INITIAL",EDATE(I88,Assumptions!$B$12)+Assumptions!$B$11,IF(B88="RECON",H88,"")))</f>
        <v/>
      </c>
      <c r="K88" s="15">
        <f>IF(C88&lt;&gt;"OK","",IF(B88="HEARING",'Case inputs'!D88,EDATE(J88,Assumptions!$B$13)))</f>
        <v>46023</v>
      </c>
      <c r="L88" s="15">
        <f>IF(C88&lt;&gt;"OK","",IF(G88="SCHEDULED",H88,EDATE(IF(B88="HEARING",H88,EDATE(K88,INT(D88))+ROUND(MOD(D88,1)*30.44,0)),Assumptions!$B$18)))</f>
        <v>46357</v>
      </c>
      <c r="M88" s="15">
        <f>IF(C88&lt;&gt;"OK","",EDATE(L88,Assumptions!$B$15))</f>
        <v>46388</v>
      </c>
      <c r="N88" s="17">
        <f>IF(C88&lt;&gt;"OK","",IF(B88="INITIAL",Assumptions!$B$21,0))</f>
        <v>0</v>
      </c>
      <c r="O88" s="17">
        <f>IF(C88&lt;&gt;"OK","",IF(B88="INITIAL",(1-Assumptions!$B$21)*Assumptions!$B$24*Assumptions!$B$22,IF(B88="RECON",Assumptions!$B$22,0)))</f>
        <v>0</v>
      </c>
      <c r="P88" s="17">
        <f>IF(C88&lt;&gt;"OK","",IF(B88="INITIAL",(1-Assumptions!$B$21)*Assumptions!$B$24*(1-Assumptions!$B$22)*Assumptions!$B$25,IF(B88="RECON",(1-Assumptions!$B$22)*Assumptions!$B$25,1)))</f>
        <v>1</v>
      </c>
      <c r="Q88" s="17">
        <f>IF(C88&lt;&gt;"OK","",IF(B88="INITIAL",(1-Assumptions!$B$21)*(1-Assumptions!$B$24),0))</f>
        <v>0</v>
      </c>
      <c r="R88" s="17">
        <f>IF(C88&lt;&gt;"OK","",IF(B88="INITIAL",(1-Assumptions!$B$21)*Assumptions!$B$24*(1-Assumptions!$B$22)*(1-Assumptions!$B$25),IF(B88="RECON",(1-Assumptions!$B$22)*(1-Assumptions!$B$25),0)))</f>
        <v>0</v>
      </c>
      <c r="S88" s="17">
        <f>IF(C88&lt;&gt;"OK","",P88*Assumptions!$B$23)</f>
        <v>0.55000000000000004</v>
      </c>
      <c r="T88" s="17">
        <f>IF(C88&lt;&gt;"OK","",P88*(1-Assumptions!$B$23))</f>
        <v>0.44999999999999996</v>
      </c>
      <c r="U88" s="18">
        <f t="shared" si="5"/>
        <v>1</v>
      </c>
      <c r="V88" s="15" t="str">
        <f>IF(C88&lt;&gt;"OK","",IF(B88="INITIAL",EDATE(I88,Assumptions!$B$14),""))</f>
        <v/>
      </c>
      <c r="W88" s="15" t="str">
        <f>IF(C88&lt;&gt;"OK","",IF(B88="HEARING","",EDATE(J88,Assumptions!$B$14)))</f>
        <v/>
      </c>
      <c r="X88" s="15">
        <f>IF(C88&lt;&gt;"OK","",EDATE(M88,Assumptions!$B$16))</f>
        <v>46447</v>
      </c>
    </row>
    <row r="89" spans="1:24" ht="22" customHeight="1">
      <c r="A89" s="11" t="str">
        <f>IF('Case inputs'!A89="","",'Case inputs'!A89)</f>
        <v>O-004</v>
      </c>
      <c r="B89" s="11" t="str">
        <f>IF(A89="","",'Case inputs'!C89)</f>
        <v>HEARING</v>
      </c>
      <c r="C89" s="11" t="str">
        <f>IF('Case inputs'!I89="","",IF(Assumptions!$B$38&lt;&gt;"OK","ASSUMPTIONS INVALID",'Case inputs'!I89))</f>
        <v>OK</v>
      </c>
      <c r="D89" s="11">
        <f>IF(C89&lt;&gt;"OK","",VLOOKUP('Case inputs'!E89,Benchmarks!$A$6:$C$164,3,FALSE))</f>
        <v>8</v>
      </c>
      <c r="E89" s="11">
        <f>IF(C89&lt;&gt;"OK","",Assumptions!$B$5-'Case inputs'!D89)</f>
        <v>273</v>
      </c>
      <c r="F89" s="15">
        <f>IF(C89&lt;&gt;"OK","",IF(B89="INITIAL",'Case inputs'!D89+Assumptions!$B$10,IF(B89="RECON",'Case inputs'!D89+Assumptions!$B$11,EDATE('Case inputs'!D89,INT(D89))+ROUND(MOD(D89,1)*30.44,0))))</f>
        <v>46266</v>
      </c>
      <c r="G89" s="11" t="str">
        <f>IF(C89&lt;&gt;"OK","",IF(AND(B89="HEARING",'Case inputs'!F89&lt;&gt;"",'Case inputs'!F89&gt;=Assumptions!$B$5),"SCHEDULED",IF('Case inputs'!G89&lt;&gt;"","REVIEWED OVERRIDE",IF(F89&lt;Assumptions!$B$5,"OVERDUE: FUTURE WINDOW","BENCHMARK SCENARIO"))))</f>
        <v>OVERDUE: FUTURE WINDOW</v>
      </c>
      <c r="H89" s="15">
        <f>IF(C89&lt;&gt;"OK","",IF(G89="SCHEDULED",'Case inputs'!F89,IF('Case inputs'!G89&lt;&gt;"",'Case inputs'!G89,IF(F89&lt;Assumptions!$B$5,EDATE(Assumptions!$B$5,Assumptions!$B$17),F89))))</f>
        <v>46357</v>
      </c>
      <c r="I89" s="16" t="str">
        <f t="shared" si="4"/>
        <v/>
      </c>
      <c r="J89" s="15" t="str">
        <f>IF(C89&lt;&gt;"OK","",IF(B89="INITIAL",EDATE(I89,Assumptions!$B$12)+Assumptions!$B$11,IF(B89="RECON",H89,"")))</f>
        <v/>
      </c>
      <c r="K89" s="15">
        <f>IF(C89&lt;&gt;"OK","",IF(B89="HEARING",'Case inputs'!D89,EDATE(J89,Assumptions!$B$13)))</f>
        <v>46023</v>
      </c>
      <c r="L89" s="15">
        <f>IF(C89&lt;&gt;"OK","",IF(G89="SCHEDULED",H89,EDATE(IF(B89="HEARING",H89,EDATE(K89,INT(D89))+ROUND(MOD(D89,1)*30.44,0)),Assumptions!$B$18)))</f>
        <v>46357</v>
      </c>
      <c r="M89" s="15">
        <f>IF(C89&lt;&gt;"OK","",EDATE(L89,Assumptions!$B$15))</f>
        <v>46388</v>
      </c>
      <c r="N89" s="17">
        <f>IF(C89&lt;&gt;"OK","",IF(B89="INITIAL",Assumptions!$B$21,0))</f>
        <v>0</v>
      </c>
      <c r="O89" s="17">
        <f>IF(C89&lt;&gt;"OK","",IF(B89="INITIAL",(1-Assumptions!$B$21)*Assumptions!$B$24*Assumptions!$B$22,IF(B89="RECON",Assumptions!$B$22,0)))</f>
        <v>0</v>
      </c>
      <c r="P89" s="17">
        <f>IF(C89&lt;&gt;"OK","",IF(B89="INITIAL",(1-Assumptions!$B$21)*Assumptions!$B$24*(1-Assumptions!$B$22)*Assumptions!$B$25,IF(B89="RECON",(1-Assumptions!$B$22)*Assumptions!$B$25,1)))</f>
        <v>1</v>
      </c>
      <c r="Q89" s="17">
        <f>IF(C89&lt;&gt;"OK","",IF(B89="INITIAL",(1-Assumptions!$B$21)*(1-Assumptions!$B$24),0))</f>
        <v>0</v>
      </c>
      <c r="R89" s="17">
        <f>IF(C89&lt;&gt;"OK","",IF(B89="INITIAL",(1-Assumptions!$B$21)*Assumptions!$B$24*(1-Assumptions!$B$22)*(1-Assumptions!$B$25),IF(B89="RECON",(1-Assumptions!$B$22)*(1-Assumptions!$B$25),0)))</f>
        <v>0</v>
      </c>
      <c r="S89" s="17">
        <f>IF(C89&lt;&gt;"OK","",P89*Assumptions!$B$23)</f>
        <v>0.55000000000000004</v>
      </c>
      <c r="T89" s="17">
        <f>IF(C89&lt;&gt;"OK","",P89*(1-Assumptions!$B$23))</f>
        <v>0.44999999999999996</v>
      </c>
      <c r="U89" s="18">
        <f t="shared" si="5"/>
        <v>1</v>
      </c>
      <c r="V89" s="15" t="str">
        <f>IF(C89&lt;&gt;"OK","",IF(B89="INITIAL",EDATE(I89,Assumptions!$B$14),""))</f>
        <v/>
      </c>
      <c r="W89" s="15" t="str">
        <f>IF(C89&lt;&gt;"OK","",IF(B89="HEARING","",EDATE(J89,Assumptions!$B$14)))</f>
        <v/>
      </c>
      <c r="X89" s="15">
        <f>IF(C89&lt;&gt;"OK","",EDATE(M89,Assumptions!$B$16))</f>
        <v>46447</v>
      </c>
    </row>
    <row r="90" spans="1:24" ht="22" customHeight="1">
      <c r="A90" s="11" t="str">
        <f>IF('Case inputs'!A90="","",'Case inputs'!A90)</f>
        <v>O-005</v>
      </c>
      <c r="B90" s="11" t="str">
        <f>IF(A90="","",'Case inputs'!C90)</f>
        <v>HEARING</v>
      </c>
      <c r="C90" s="11" t="str">
        <f>IF('Case inputs'!I90="","",IF(Assumptions!$B$38&lt;&gt;"OK","ASSUMPTIONS INVALID",'Case inputs'!I90))</f>
        <v>OK</v>
      </c>
      <c r="D90" s="11">
        <f>IF(C90&lt;&gt;"OK","",VLOOKUP('Case inputs'!E90,Benchmarks!$A$6:$C$164,3,FALSE))</f>
        <v>8</v>
      </c>
      <c r="E90" s="11">
        <f>IF(C90&lt;&gt;"OK","",Assumptions!$B$5-'Case inputs'!D90)</f>
        <v>273</v>
      </c>
      <c r="F90" s="15">
        <f>IF(C90&lt;&gt;"OK","",IF(B90="INITIAL",'Case inputs'!D90+Assumptions!$B$10,IF(B90="RECON",'Case inputs'!D90+Assumptions!$B$11,EDATE('Case inputs'!D90,INT(D90))+ROUND(MOD(D90,1)*30.44,0))))</f>
        <v>46266</v>
      </c>
      <c r="G90" s="11" t="str">
        <f>IF(C90&lt;&gt;"OK","",IF(AND(B90="HEARING",'Case inputs'!F90&lt;&gt;"",'Case inputs'!F90&gt;=Assumptions!$B$5),"SCHEDULED",IF('Case inputs'!G90&lt;&gt;"","REVIEWED OVERRIDE",IF(F90&lt;Assumptions!$B$5,"OVERDUE: FUTURE WINDOW","BENCHMARK SCENARIO"))))</f>
        <v>OVERDUE: FUTURE WINDOW</v>
      </c>
      <c r="H90" s="15">
        <f>IF(C90&lt;&gt;"OK","",IF(G90="SCHEDULED",'Case inputs'!F90,IF('Case inputs'!G90&lt;&gt;"",'Case inputs'!G90,IF(F90&lt;Assumptions!$B$5,EDATE(Assumptions!$B$5,Assumptions!$B$17),F90))))</f>
        <v>46357</v>
      </c>
      <c r="I90" s="16" t="str">
        <f t="shared" si="4"/>
        <v/>
      </c>
      <c r="J90" s="15" t="str">
        <f>IF(C90&lt;&gt;"OK","",IF(B90="INITIAL",EDATE(I90,Assumptions!$B$12)+Assumptions!$B$11,IF(B90="RECON",H90,"")))</f>
        <v/>
      </c>
      <c r="K90" s="15">
        <f>IF(C90&lt;&gt;"OK","",IF(B90="HEARING",'Case inputs'!D90,EDATE(J90,Assumptions!$B$13)))</f>
        <v>46023</v>
      </c>
      <c r="L90" s="15">
        <f>IF(C90&lt;&gt;"OK","",IF(G90="SCHEDULED",H90,EDATE(IF(B90="HEARING",H90,EDATE(K90,INT(D90))+ROUND(MOD(D90,1)*30.44,0)),Assumptions!$B$18)))</f>
        <v>46357</v>
      </c>
      <c r="M90" s="15">
        <f>IF(C90&lt;&gt;"OK","",EDATE(L90,Assumptions!$B$15))</f>
        <v>46388</v>
      </c>
      <c r="N90" s="17">
        <f>IF(C90&lt;&gt;"OK","",IF(B90="INITIAL",Assumptions!$B$21,0))</f>
        <v>0</v>
      </c>
      <c r="O90" s="17">
        <f>IF(C90&lt;&gt;"OK","",IF(B90="INITIAL",(1-Assumptions!$B$21)*Assumptions!$B$24*Assumptions!$B$22,IF(B90="RECON",Assumptions!$B$22,0)))</f>
        <v>0</v>
      </c>
      <c r="P90" s="17">
        <f>IF(C90&lt;&gt;"OK","",IF(B90="INITIAL",(1-Assumptions!$B$21)*Assumptions!$B$24*(1-Assumptions!$B$22)*Assumptions!$B$25,IF(B90="RECON",(1-Assumptions!$B$22)*Assumptions!$B$25,1)))</f>
        <v>1</v>
      </c>
      <c r="Q90" s="17">
        <f>IF(C90&lt;&gt;"OK","",IF(B90="INITIAL",(1-Assumptions!$B$21)*(1-Assumptions!$B$24),0))</f>
        <v>0</v>
      </c>
      <c r="R90" s="17">
        <f>IF(C90&lt;&gt;"OK","",IF(B90="INITIAL",(1-Assumptions!$B$21)*Assumptions!$B$24*(1-Assumptions!$B$22)*(1-Assumptions!$B$25),IF(B90="RECON",(1-Assumptions!$B$22)*(1-Assumptions!$B$25),0)))</f>
        <v>0</v>
      </c>
      <c r="S90" s="17">
        <f>IF(C90&lt;&gt;"OK","",P90*Assumptions!$B$23)</f>
        <v>0.55000000000000004</v>
      </c>
      <c r="T90" s="17">
        <f>IF(C90&lt;&gt;"OK","",P90*(1-Assumptions!$B$23))</f>
        <v>0.44999999999999996</v>
      </c>
      <c r="U90" s="18">
        <f t="shared" si="5"/>
        <v>1</v>
      </c>
      <c r="V90" s="15" t="str">
        <f>IF(C90&lt;&gt;"OK","",IF(B90="INITIAL",EDATE(I90,Assumptions!$B$14),""))</f>
        <v/>
      </c>
      <c r="W90" s="15" t="str">
        <f>IF(C90&lt;&gt;"OK","",IF(B90="HEARING","",EDATE(J90,Assumptions!$B$14)))</f>
        <v/>
      </c>
      <c r="X90" s="15">
        <f>IF(C90&lt;&gt;"OK","",EDATE(M90,Assumptions!$B$16))</f>
        <v>46447</v>
      </c>
    </row>
    <row r="91" spans="1:24" ht="22" customHeight="1">
      <c r="A91" s="11" t="str">
        <f>IF('Case inputs'!A91="","",'Case inputs'!A91)</f>
        <v>O-006</v>
      </c>
      <c r="B91" s="11" t="str">
        <f>IF(A91="","",'Case inputs'!C91)</f>
        <v>HEARING</v>
      </c>
      <c r="C91" s="11" t="str">
        <f>IF('Case inputs'!I91="","",IF(Assumptions!$B$38&lt;&gt;"OK","ASSUMPTIONS INVALID",'Case inputs'!I91))</f>
        <v>OK</v>
      </c>
      <c r="D91" s="11">
        <f>IF(C91&lt;&gt;"OK","",VLOOKUP('Case inputs'!E91,Benchmarks!$A$6:$C$164,3,FALSE))</f>
        <v>8</v>
      </c>
      <c r="E91" s="11">
        <f>IF(C91&lt;&gt;"OK","",Assumptions!$B$5-'Case inputs'!D91)</f>
        <v>273</v>
      </c>
      <c r="F91" s="15">
        <f>IF(C91&lt;&gt;"OK","",IF(B91="INITIAL",'Case inputs'!D91+Assumptions!$B$10,IF(B91="RECON",'Case inputs'!D91+Assumptions!$B$11,EDATE('Case inputs'!D91,INT(D91))+ROUND(MOD(D91,1)*30.44,0))))</f>
        <v>46266</v>
      </c>
      <c r="G91" s="11" t="str">
        <f>IF(C91&lt;&gt;"OK","",IF(AND(B91="HEARING",'Case inputs'!F91&lt;&gt;"",'Case inputs'!F91&gt;=Assumptions!$B$5),"SCHEDULED",IF('Case inputs'!G91&lt;&gt;"","REVIEWED OVERRIDE",IF(F91&lt;Assumptions!$B$5,"OVERDUE: FUTURE WINDOW","BENCHMARK SCENARIO"))))</f>
        <v>OVERDUE: FUTURE WINDOW</v>
      </c>
      <c r="H91" s="15">
        <f>IF(C91&lt;&gt;"OK","",IF(G91="SCHEDULED",'Case inputs'!F91,IF('Case inputs'!G91&lt;&gt;"",'Case inputs'!G91,IF(F91&lt;Assumptions!$B$5,EDATE(Assumptions!$B$5,Assumptions!$B$17),F91))))</f>
        <v>46357</v>
      </c>
      <c r="I91" s="16" t="str">
        <f t="shared" si="4"/>
        <v/>
      </c>
      <c r="J91" s="15" t="str">
        <f>IF(C91&lt;&gt;"OK","",IF(B91="INITIAL",EDATE(I91,Assumptions!$B$12)+Assumptions!$B$11,IF(B91="RECON",H91,"")))</f>
        <v/>
      </c>
      <c r="K91" s="15">
        <f>IF(C91&lt;&gt;"OK","",IF(B91="HEARING",'Case inputs'!D91,EDATE(J91,Assumptions!$B$13)))</f>
        <v>46023</v>
      </c>
      <c r="L91" s="15">
        <f>IF(C91&lt;&gt;"OK","",IF(G91="SCHEDULED",H91,EDATE(IF(B91="HEARING",H91,EDATE(K91,INT(D91))+ROUND(MOD(D91,1)*30.44,0)),Assumptions!$B$18)))</f>
        <v>46357</v>
      </c>
      <c r="M91" s="15">
        <f>IF(C91&lt;&gt;"OK","",EDATE(L91,Assumptions!$B$15))</f>
        <v>46388</v>
      </c>
      <c r="N91" s="17">
        <f>IF(C91&lt;&gt;"OK","",IF(B91="INITIAL",Assumptions!$B$21,0))</f>
        <v>0</v>
      </c>
      <c r="O91" s="17">
        <f>IF(C91&lt;&gt;"OK","",IF(B91="INITIAL",(1-Assumptions!$B$21)*Assumptions!$B$24*Assumptions!$B$22,IF(B91="RECON",Assumptions!$B$22,0)))</f>
        <v>0</v>
      </c>
      <c r="P91" s="17">
        <f>IF(C91&lt;&gt;"OK","",IF(B91="INITIAL",(1-Assumptions!$B$21)*Assumptions!$B$24*(1-Assumptions!$B$22)*Assumptions!$B$25,IF(B91="RECON",(1-Assumptions!$B$22)*Assumptions!$B$25,1)))</f>
        <v>1</v>
      </c>
      <c r="Q91" s="17">
        <f>IF(C91&lt;&gt;"OK","",IF(B91="INITIAL",(1-Assumptions!$B$21)*(1-Assumptions!$B$24),0))</f>
        <v>0</v>
      </c>
      <c r="R91" s="17">
        <f>IF(C91&lt;&gt;"OK","",IF(B91="INITIAL",(1-Assumptions!$B$21)*Assumptions!$B$24*(1-Assumptions!$B$22)*(1-Assumptions!$B$25),IF(B91="RECON",(1-Assumptions!$B$22)*(1-Assumptions!$B$25),0)))</f>
        <v>0</v>
      </c>
      <c r="S91" s="17">
        <f>IF(C91&lt;&gt;"OK","",P91*Assumptions!$B$23)</f>
        <v>0.55000000000000004</v>
      </c>
      <c r="T91" s="17">
        <f>IF(C91&lt;&gt;"OK","",P91*(1-Assumptions!$B$23))</f>
        <v>0.44999999999999996</v>
      </c>
      <c r="U91" s="18">
        <f t="shared" si="5"/>
        <v>1</v>
      </c>
      <c r="V91" s="15" t="str">
        <f>IF(C91&lt;&gt;"OK","",IF(B91="INITIAL",EDATE(I91,Assumptions!$B$14),""))</f>
        <v/>
      </c>
      <c r="W91" s="15" t="str">
        <f>IF(C91&lt;&gt;"OK","",IF(B91="HEARING","",EDATE(J91,Assumptions!$B$14)))</f>
        <v/>
      </c>
      <c r="X91" s="15">
        <f>IF(C91&lt;&gt;"OK","",EDATE(M91,Assumptions!$B$16))</f>
        <v>46447</v>
      </c>
    </row>
    <row r="92" spans="1:24" ht="22" customHeight="1">
      <c r="A92" s="11" t="str">
        <f>IF('Case inputs'!A92="","",'Case inputs'!A92)</f>
        <v>O-007</v>
      </c>
      <c r="B92" s="11" t="str">
        <f>IF(A92="","",'Case inputs'!C92)</f>
        <v>HEARING</v>
      </c>
      <c r="C92" s="11" t="str">
        <f>IF('Case inputs'!I92="","",IF(Assumptions!$B$38&lt;&gt;"OK","ASSUMPTIONS INVALID",'Case inputs'!I92))</f>
        <v>OK</v>
      </c>
      <c r="D92" s="11">
        <f>IF(C92&lt;&gt;"OK","",VLOOKUP('Case inputs'!E92,Benchmarks!$A$6:$C$164,3,FALSE))</f>
        <v>8</v>
      </c>
      <c r="E92" s="11">
        <f>IF(C92&lt;&gt;"OK","",Assumptions!$B$5-'Case inputs'!D92)</f>
        <v>273</v>
      </c>
      <c r="F92" s="15">
        <f>IF(C92&lt;&gt;"OK","",IF(B92="INITIAL",'Case inputs'!D92+Assumptions!$B$10,IF(B92="RECON",'Case inputs'!D92+Assumptions!$B$11,EDATE('Case inputs'!D92,INT(D92))+ROUND(MOD(D92,1)*30.44,0))))</f>
        <v>46266</v>
      </c>
      <c r="G92" s="11" t="str">
        <f>IF(C92&lt;&gt;"OK","",IF(AND(B92="HEARING",'Case inputs'!F92&lt;&gt;"",'Case inputs'!F92&gt;=Assumptions!$B$5),"SCHEDULED",IF('Case inputs'!G92&lt;&gt;"","REVIEWED OVERRIDE",IF(F92&lt;Assumptions!$B$5,"OVERDUE: FUTURE WINDOW","BENCHMARK SCENARIO"))))</f>
        <v>OVERDUE: FUTURE WINDOW</v>
      </c>
      <c r="H92" s="15">
        <f>IF(C92&lt;&gt;"OK","",IF(G92="SCHEDULED",'Case inputs'!F92,IF('Case inputs'!G92&lt;&gt;"",'Case inputs'!G92,IF(F92&lt;Assumptions!$B$5,EDATE(Assumptions!$B$5,Assumptions!$B$17),F92))))</f>
        <v>46357</v>
      </c>
      <c r="I92" s="16" t="str">
        <f t="shared" si="4"/>
        <v/>
      </c>
      <c r="J92" s="15" t="str">
        <f>IF(C92&lt;&gt;"OK","",IF(B92="INITIAL",EDATE(I92,Assumptions!$B$12)+Assumptions!$B$11,IF(B92="RECON",H92,"")))</f>
        <v/>
      </c>
      <c r="K92" s="15">
        <f>IF(C92&lt;&gt;"OK","",IF(B92="HEARING",'Case inputs'!D92,EDATE(J92,Assumptions!$B$13)))</f>
        <v>46023</v>
      </c>
      <c r="L92" s="15">
        <f>IF(C92&lt;&gt;"OK","",IF(G92="SCHEDULED",H92,EDATE(IF(B92="HEARING",H92,EDATE(K92,INT(D92))+ROUND(MOD(D92,1)*30.44,0)),Assumptions!$B$18)))</f>
        <v>46357</v>
      </c>
      <c r="M92" s="15">
        <f>IF(C92&lt;&gt;"OK","",EDATE(L92,Assumptions!$B$15))</f>
        <v>46388</v>
      </c>
      <c r="N92" s="17">
        <f>IF(C92&lt;&gt;"OK","",IF(B92="INITIAL",Assumptions!$B$21,0))</f>
        <v>0</v>
      </c>
      <c r="O92" s="17">
        <f>IF(C92&lt;&gt;"OK","",IF(B92="INITIAL",(1-Assumptions!$B$21)*Assumptions!$B$24*Assumptions!$B$22,IF(B92="RECON",Assumptions!$B$22,0)))</f>
        <v>0</v>
      </c>
      <c r="P92" s="17">
        <f>IF(C92&lt;&gt;"OK","",IF(B92="INITIAL",(1-Assumptions!$B$21)*Assumptions!$B$24*(1-Assumptions!$B$22)*Assumptions!$B$25,IF(B92="RECON",(1-Assumptions!$B$22)*Assumptions!$B$25,1)))</f>
        <v>1</v>
      </c>
      <c r="Q92" s="17">
        <f>IF(C92&lt;&gt;"OK","",IF(B92="INITIAL",(1-Assumptions!$B$21)*(1-Assumptions!$B$24),0))</f>
        <v>0</v>
      </c>
      <c r="R92" s="17">
        <f>IF(C92&lt;&gt;"OK","",IF(B92="INITIAL",(1-Assumptions!$B$21)*Assumptions!$B$24*(1-Assumptions!$B$22)*(1-Assumptions!$B$25),IF(B92="RECON",(1-Assumptions!$B$22)*(1-Assumptions!$B$25),0)))</f>
        <v>0</v>
      </c>
      <c r="S92" s="17">
        <f>IF(C92&lt;&gt;"OK","",P92*Assumptions!$B$23)</f>
        <v>0.55000000000000004</v>
      </c>
      <c r="T92" s="17">
        <f>IF(C92&lt;&gt;"OK","",P92*(1-Assumptions!$B$23))</f>
        <v>0.44999999999999996</v>
      </c>
      <c r="U92" s="18">
        <f t="shared" si="5"/>
        <v>1</v>
      </c>
      <c r="V92" s="15" t="str">
        <f>IF(C92&lt;&gt;"OK","",IF(B92="INITIAL",EDATE(I92,Assumptions!$B$14),""))</f>
        <v/>
      </c>
      <c r="W92" s="15" t="str">
        <f>IF(C92&lt;&gt;"OK","",IF(B92="HEARING","",EDATE(J92,Assumptions!$B$14)))</f>
        <v/>
      </c>
      <c r="X92" s="15">
        <f>IF(C92&lt;&gt;"OK","",EDATE(M92,Assumptions!$B$16))</f>
        <v>46447</v>
      </c>
    </row>
    <row r="93" spans="1:24" ht="22" customHeight="1">
      <c r="A93" s="11" t="str">
        <f>IF('Case inputs'!A93="","",'Case inputs'!A93)</f>
        <v>O-008</v>
      </c>
      <c r="B93" s="11" t="str">
        <f>IF(A93="","",'Case inputs'!C93)</f>
        <v>HEARING</v>
      </c>
      <c r="C93" s="11" t="str">
        <f>IF('Case inputs'!I93="","",IF(Assumptions!$B$38&lt;&gt;"OK","ASSUMPTIONS INVALID",'Case inputs'!I93))</f>
        <v>OK</v>
      </c>
      <c r="D93" s="11">
        <f>IF(C93&lt;&gt;"OK","",VLOOKUP('Case inputs'!E93,Benchmarks!$A$6:$C$164,3,FALSE))</f>
        <v>8</v>
      </c>
      <c r="E93" s="11">
        <f>IF(C93&lt;&gt;"OK","",Assumptions!$B$5-'Case inputs'!D93)</f>
        <v>273</v>
      </c>
      <c r="F93" s="15">
        <f>IF(C93&lt;&gt;"OK","",IF(B93="INITIAL",'Case inputs'!D93+Assumptions!$B$10,IF(B93="RECON",'Case inputs'!D93+Assumptions!$B$11,EDATE('Case inputs'!D93,INT(D93))+ROUND(MOD(D93,1)*30.44,0))))</f>
        <v>46266</v>
      </c>
      <c r="G93" s="11" t="str">
        <f>IF(C93&lt;&gt;"OK","",IF(AND(B93="HEARING",'Case inputs'!F93&lt;&gt;"",'Case inputs'!F93&gt;=Assumptions!$B$5),"SCHEDULED",IF('Case inputs'!G93&lt;&gt;"","REVIEWED OVERRIDE",IF(F93&lt;Assumptions!$B$5,"OVERDUE: FUTURE WINDOW","BENCHMARK SCENARIO"))))</f>
        <v>OVERDUE: FUTURE WINDOW</v>
      </c>
      <c r="H93" s="15">
        <f>IF(C93&lt;&gt;"OK","",IF(G93="SCHEDULED",'Case inputs'!F93,IF('Case inputs'!G93&lt;&gt;"",'Case inputs'!G93,IF(F93&lt;Assumptions!$B$5,EDATE(Assumptions!$B$5,Assumptions!$B$17),F93))))</f>
        <v>46357</v>
      </c>
      <c r="I93" s="16" t="str">
        <f t="shared" si="4"/>
        <v/>
      </c>
      <c r="J93" s="15" t="str">
        <f>IF(C93&lt;&gt;"OK","",IF(B93="INITIAL",EDATE(I93,Assumptions!$B$12)+Assumptions!$B$11,IF(B93="RECON",H93,"")))</f>
        <v/>
      </c>
      <c r="K93" s="15">
        <f>IF(C93&lt;&gt;"OK","",IF(B93="HEARING",'Case inputs'!D93,EDATE(J93,Assumptions!$B$13)))</f>
        <v>46023</v>
      </c>
      <c r="L93" s="15">
        <f>IF(C93&lt;&gt;"OK","",IF(G93="SCHEDULED",H93,EDATE(IF(B93="HEARING",H93,EDATE(K93,INT(D93))+ROUND(MOD(D93,1)*30.44,0)),Assumptions!$B$18)))</f>
        <v>46357</v>
      </c>
      <c r="M93" s="15">
        <f>IF(C93&lt;&gt;"OK","",EDATE(L93,Assumptions!$B$15))</f>
        <v>46388</v>
      </c>
      <c r="N93" s="17">
        <f>IF(C93&lt;&gt;"OK","",IF(B93="INITIAL",Assumptions!$B$21,0))</f>
        <v>0</v>
      </c>
      <c r="O93" s="17">
        <f>IF(C93&lt;&gt;"OK","",IF(B93="INITIAL",(1-Assumptions!$B$21)*Assumptions!$B$24*Assumptions!$B$22,IF(B93="RECON",Assumptions!$B$22,0)))</f>
        <v>0</v>
      </c>
      <c r="P93" s="17">
        <f>IF(C93&lt;&gt;"OK","",IF(B93="INITIAL",(1-Assumptions!$B$21)*Assumptions!$B$24*(1-Assumptions!$B$22)*Assumptions!$B$25,IF(B93="RECON",(1-Assumptions!$B$22)*Assumptions!$B$25,1)))</f>
        <v>1</v>
      </c>
      <c r="Q93" s="17">
        <f>IF(C93&lt;&gt;"OK","",IF(B93="INITIAL",(1-Assumptions!$B$21)*(1-Assumptions!$B$24),0))</f>
        <v>0</v>
      </c>
      <c r="R93" s="17">
        <f>IF(C93&lt;&gt;"OK","",IF(B93="INITIAL",(1-Assumptions!$B$21)*Assumptions!$B$24*(1-Assumptions!$B$22)*(1-Assumptions!$B$25),IF(B93="RECON",(1-Assumptions!$B$22)*(1-Assumptions!$B$25),0)))</f>
        <v>0</v>
      </c>
      <c r="S93" s="17">
        <f>IF(C93&lt;&gt;"OK","",P93*Assumptions!$B$23)</f>
        <v>0.55000000000000004</v>
      </c>
      <c r="T93" s="17">
        <f>IF(C93&lt;&gt;"OK","",P93*(1-Assumptions!$B$23))</f>
        <v>0.44999999999999996</v>
      </c>
      <c r="U93" s="18">
        <f t="shared" si="5"/>
        <v>1</v>
      </c>
      <c r="V93" s="15" t="str">
        <f>IF(C93&lt;&gt;"OK","",IF(B93="INITIAL",EDATE(I93,Assumptions!$B$14),""))</f>
        <v/>
      </c>
      <c r="W93" s="15" t="str">
        <f>IF(C93&lt;&gt;"OK","",IF(B93="HEARING","",EDATE(J93,Assumptions!$B$14)))</f>
        <v/>
      </c>
      <c r="X93" s="15">
        <f>IF(C93&lt;&gt;"OK","",EDATE(M93,Assumptions!$B$16))</f>
        <v>46447</v>
      </c>
    </row>
    <row r="94" spans="1:24" ht="22" customHeight="1">
      <c r="A94" s="11" t="str">
        <f>IF('Case inputs'!A94="","",'Case inputs'!A94)</f>
        <v>O-009</v>
      </c>
      <c r="B94" s="11" t="str">
        <f>IF(A94="","",'Case inputs'!C94)</f>
        <v>HEARING</v>
      </c>
      <c r="C94" s="11" t="str">
        <f>IF('Case inputs'!I94="","",IF(Assumptions!$B$38&lt;&gt;"OK","ASSUMPTIONS INVALID",'Case inputs'!I94))</f>
        <v>OK</v>
      </c>
      <c r="D94" s="11">
        <f>IF(C94&lt;&gt;"OK","",VLOOKUP('Case inputs'!E94,Benchmarks!$A$6:$C$164,3,FALSE))</f>
        <v>8</v>
      </c>
      <c r="E94" s="11">
        <f>IF(C94&lt;&gt;"OK","",Assumptions!$B$5-'Case inputs'!D94)</f>
        <v>273</v>
      </c>
      <c r="F94" s="15">
        <f>IF(C94&lt;&gt;"OK","",IF(B94="INITIAL",'Case inputs'!D94+Assumptions!$B$10,IF(B94="RECON",'Case inputs'!D94+Assumptions!$B$11,EDATE('Case inputs'!D94,INT(D94))+ROUND(MOD(D94,1)*30.44,0))))</f>
        <v>46266</v>
      </c>
      <c r="G94" s="11" t="str">
        <f>IF(C94&lt;&gt;"OK","",IF(AND(B94="HEARING",'Case inputs'!F94&lt;&gt;"",'Case inputs'!F94&gt;=Assumptions!$B$5),"SCHEDULED",IF('Case inputs'!G94&lt;&gt;"","REVIEWED OVERRIDE",IF(F94&lt;Assumptions!$B$5,"OVERDUE: FUTURE WINDOW","BENCHMARK SCENARIO"))))</f>
        <v>OVERDUE: FUTURE WINDOW</v>
      </c>
      <c r="H94" s="15">
        <f>IF(C94&lt;&gt;"OK","",IF(G94="SCHEDULED",'Case inputs'!F94,IF('Case inputs'!G94&lt;&gt;"",'Case inputs'!G94,IF(F94&lt;Assumptions!$B$5,EDATE(Assumptions!$B$5,Assumptions!$B$17),F94))))</f>
        <v>46357</v>
      </c>
      <c r="I94" s="16" t="str">
        <f t="shared" si="4"/>
        <v/>
      </c>
      <c r="J94" s="15" t="str">
        <f>IF(C94&lt;&gt;"OK","",IF(B94="INITIAL",EDATE(I94,Assumptions!$B$12)+Assumptions!$B$11,IF(B94="RECON",H94,"")))</f>
        <v/>
      </c>
      <c r="K94" s="15">
        <f>IF(C94&lt;&gt;"OK","",IF(B94="HEARING",'Case inputs'!D94,EDATE(J94,Assumptions!$B$13)))</f>
        <v>46023</v>
      </c>
      <c r="L94" s="15">
        <f>IF(C94&lt;&gt;"OK","",IF(G94="SCHEDULED",H94,EDATE(IF(B94="HEARING",H94,EDATE(K94,INT(D94))+ROUND(MOD(D94,1)*30.44,0)),Assumptions!$B$18)))</f>
        <v>46357</v>
      </c>
      <c r="M94" s="15">
        <f>IF(C94&lt;&gt;"OK","",EDATE(L94,Assumptions!$B$15))</f>
        <v>46388</v>
      </c>
      <c r="N94" s="17">
        <f>IF(C94&lt;&gt;"OK","",IF(B94="INITIAL",Assumptions!$B$21,0))</f>
        <v>0</v>
      </c>
      <c r="O94" s="17">
        <f>IF(C94&lt;&gt;"OK","",IF(B94="INITIAL",(1-Assumptions!$B$21)*Assumptions!$B$24*Assumptions!$B$22,IF(B94="RECON",Assumptions!$B$22,0)))</f>
        <v>0</v>
      </c>
      <c r="P94" s="17">
        <f>IF(C94&lt;&gt;"OK","",IF(B94="INITIAL",(1-Assumptions!$B$21)*Assumptions!$B$24*(1-Assumptions!$B$22)*Assumptions!$B$25,IF(B94="RECON",(1-Assumptions!$B$22)*Assumptions!$B$25,1)))</f>
        <v>1</v>
      </c>
      <c r="Q94" s="17">
        <f>IF(C94&lt;&gt;"OK","",IF(B94="INITIAL",(1-Assumptions!$B$21)*(1-Assumptions!$B$24),0))</f>
        <v>0</v>
      </c>
      <c r="R94" s="17">
        <f>IF(C94&lt;&gt;"OK","",IF(B94="INITIAL",(1-Assumptions!$B$21)*Assumptions!$B$24*(1-Assumptions!$B$22)*(1-Assumptions!$B$25),IF(B94="RECON",(1-Assumptions!$B$22)*(1-Assumptions!$B$25),0)))</f>
        <v>0</v>
      </c>
      <c r="S94" s="17">
        <f>IF(C94&lt;&gt;"OK","",P94*Assumptions!$B$23)</f>
        <v>0.55000000000000004</v>
      </c>
      <c r="T94" s="17">
        <f>IF(C94&lt;&gt;"OK","",P94*(1-Assumptions!$B$23))</f>
        <v>0.44999999999999996</v>
      </c>
      <c r="U94" s="18">
        <f t="shared" si="5"/>
        <v>1</v>
      </c>
      <c r="V94" s="15" t="str">
        <f>IF(C94&lt;&gt;"OK","",IF(B94="INITIAL",EDATE(I94,Assumptions!$B$14),""))</f>
        <v/>
      </c>
      <c r="W94" s="15" t="str">
        <f>IF(C94&lt;&gt;"OK","",IF(B94="HEARING","",EDATE(J94,Assumptions!$B$14)))</f>
        <v/>
      </c>
      <c r="X94" s="15">
        <f>IF(C94&lt;&gt;"OK","",EDATE(M94,Assumptions!$B$16))</f>
        <v>46447</v>
      </c>
    </row>
    <row r="95" spans="1:24" ht="22" customHeight="1">
      <c r="A95" s="11" t="str">
        <f>IF('Case inputs'!A95="","",'Case inputs'!A95)</f>
        <v>O-010</v>
      </c>
      <c r="B95" s="11" t="str">
        <f>IF(A95="","",'Case inputs'!C95)</f>
        <v>HEARING</v>
      </c>
      <c r="C95" s="11" t="str">
        <f>IF('Case inputs'!I95="","",IF(Assumptions!$B$38&lt;&gt;"OK","ASSUMPTIONS INVALID",'Case inputs'!I95))</f>
        <v>OK</v>
      </c>
      <c r="D95" s="11">
        <f>IF(C95&lt;&gt;"OK","",VLOOKUP('Case inputs'!E95,Benchmarks!$A$6:$C$164,3,FALSE))</f>
        <v>8</v>
      </c>
      <c r="E95" s="11">
        <f>IF(C95&lt;&gt;"OK","",Assumptions!$B$5-'Case inputs'!D95)</f>
        <v>273</v>
      </c>
      <c r="F95" s="15">
        <f>IF(C95&lt;&gt;"OK","",IF(B95="INITIAL",'Case inputs'!D95+Assumptions!$B$10,IF(B95="RECON",'Case inputs'!D95+Assumptions!$B$11,EDATE('Case inputs'!D95,INT(D95))+ROUND(MOD(D95,1)*30.44,0))))</f>
        <v>46266</v>
      </c>
      <c r="G95" s="11" t="str">
        <f>IF(C95&lt;&gt;"OK","",IF(AND(B95="HEARING",'Case inputs'!F95&lt;&gt;"",'Case inputs'!F95&gt;=Assumptions!$B$5),"SCHEDULED",IF('Case inputs'!G95&lt;&gt;"","REVIEWED OVERRIDE",IF(F95&lt;Assumptions!$B$5,"OVERDUE: FUTURE WINDOW","BENCHMARK SCENARIO"))))</f>
        <v>OVERDUE: FUTURE WINDOW</v>
      </c>
      <c r="H95" s="15">
        <f>IF(C95&lt;&gt;"OK","",IF(G95="SCHEDULED",'Case inputs'!F95,IF('Case inputs'!G95&lt;&gt;"",'Case inputs'!G95,IF(F95&lt;Assumptions!$B$5,EDATE(Assumptions!$B$5,Assumptions!$B$17),F95))))</f>
        <v>46357</v>
      </c>
      <c r="I95" s="16" t="str">
        <f t="shared" si="4"/>
        <v/>
      </c>
      <c r="J95" s="15" t="str">
        <f>IF(C95&lt;&gt;"OK","",IF(B95="INITIAL",EDATE(I95,Assumptions!$B$12)+Assumptions!$B$11,IF(B95="RECON",H95,"")))</f>
        <v/>
      </c>
      <c r="K95" s="15">
        <f>IF(C95&lt;&gt;"OK","",IF(B95="HEARING",'Case inputs'!D95,EDATE(J95,Assumptions!$B$13)))</f>
        <v>46023</v>
      </c>
      <c r="L95" s="15">
        <f>IF(C95&lt;&gt;"OK","",IF(G95="SCHEDULED",H95,EDATE(IF(B95="HEARING",H95,EDATE(K95,INT(D95))+ROUND(MOD(D95,1)*30.44,0)),Assumptions!$B$18)))</f>
        <v>46357</v>
      </c>
      <c r="M95" s="15">
        <f>IF(C95&lt;&gt;"OK","",EDATE(L95,Assumptions!$B$15))</f>
        <v>46388</v>
      </c>
      <c r="N95" s="17">
        <f>IF(C95&lt;&gt;"OK","",IF(B95="INITIAL",Assumptions!$B$21,0))</f>
        <v>0</v>
      </c>
      <c r="O95" s="17">
        <f>IF(C95&lt;&gt;"OK","",IF(B95="INITIAL",(1-Assumptions!$B$21)*Assumptions!$B$24*Assumptions!$B$22,IF(B95="RECON",Assumptions!$B$22,0)))</f>
        <v>0</v>
      </c>
      <c r="P95" s="17">
        <f>IF(C95&lt;&gt;"OK","",IF(B95="INITIAL",(1-Assumptions!$B$21)*Assumptions!$B$24*(1-Assumptions!$B$22)*Assumptions!$B$25,IF(B95="RECON",(1-Assumptions!$B$22)*Assumptions!$B$25,1)))</f>
        <v>1</v>
      </c>
      <c r="Q95" s="17">
        <f>IF(C95&lt;&gt;"OK","",IF(B95="INITIAL",(1-Assumptions!$B$21)*(1-Assumptions!$B$24),0))</f>
        <v>0</v>
      </c>
      <c r="R95" s="17">
        <f>IF(C95&lt;&gt;"OK","",IF(B95="INITIAL",(1-Assumptions!$B$21)*Assumptions!$B$24*(1-Assumptions!$B$22)*(1-Assumptions!$B$25),IF(B95="RECON",(1-Assumptions!$B$22)*(1-Assumptions!$B$25),0)))</f>
        <v>0</v>
      </c>
      <c r="S95" s="17">
        <f>IF(C95&lt;&gt;"OK","",P95*Assumptions!$B$23)</f>
        <v>0.55000000000000004</v>
      </c>
      <c r="T95" s="17">
        <f>IF(C95&lt;&gt;"OK","",P95*(1-Assumptions!$B$23))</f>
        <v>0.44999999999999996</v>
      </c>
      <c r="U95" s="18">
        <f t="shared" si="5"/>
        <v>1</v>
      </c>
      <c r="V95" s="15" t="str">
        <f>IF(C95&lt;&gt;"OK","",IF(B95="INITIAL",EDATE(I95,Assumptions!$B$14),""))</f>
        <v/>
      </c>
      <c r="W95" s="15" t="str">
        <f>IF(C95&lt;&gt;"OK","",IF(B95="HEARING","",EDATE(J95,Assumptions!$B$14)))</f>
        <v/>
      </c>
      <c r="X95" s="15">
        <f>IF(C95&lt;&gt;"OK","",EDATE(M95,Assumptions!$B$16))</f>
        <v>46447</v>
      </c>
    </row>
    <row r="96" spans="1:24" ht="22" customHeight="1">
      <c r="A96" s="11" t="str">
        <f>IF('Case inputs'!A96="","",'Case inputs'!A96)</f>
        <v>S-001</v>
      </c>
      <c r="B96" s="11" t="str">
        <f>IF(A96="","",'Case inputs'!C96)</f>
        <v>HEARING</v>
      </c>
      <c r="C96" s="11" t="str">
        <f>IF('Case inputs'!I96="","",IF(Assumptions!$B$38&lt;&gt;"OK","ASSUMPTIONS INVALID",'Case inputs'!I96))</f>
        <v>OK</v>
      </c>
      <c r="D96" s="11">
        <f>IF(C96&lt;&gt;"OK","",VLOOKUP('Case inputs'!E96,Benchmarks!$A$6:$C$164,3,FALSE))</f>
        <v>8</v>
      </c>
      <c r="E96" s="11">
        <f>IF(C96&lt;&gt;"OK","",Assumptions!$B$5-'Case inputs'!D96)</f>
        <v>214</v>
      </c>
      <c r="F96" s="15">
        <f>IF(C96&lt;&gt;"OK","",IF(B96="INITIAL",'Case inputs'!D96+Assumptions!$B$10,IF(B96="RECON",'Case inputs'!D96+Assumptions!$B$11,EDATE('Case inputs'!D96,INT(D96))+ROUND(MOD(D96,1)*30.44,0))))</f>
        <v>46327</v>
      </c>
      <c r="G96" s="11" t="str">
        <f>IF(C96&lt;&gt;"OK","",IF(AND(B96="HEARING",'Case inputs'!F96&lt;&gt;"",'Case inputs'!F96&gt;=Assumptions!$B$5),"SCHEDULED",IF('Case inputs'!G96&lt;&gt;"","REVIEWED OVERRIDE",IF(F96&lt;Assumptions!$B$5,"OVERDUE: FUTURE WINDOW","BENCHMARK SCENARIO"))))</f>
        <v>SCHEDULED</v>
      </c>
      <c r="H96" s="15">
        <f>IF(C96&lt;&gt;"OK","",IF(G96="SCHEDULED",'Case inputs'!F96,IF('Case inputs'!G96&lt;&gt;"",'Case inputs'!G96,IF(F96&lt;Assumptions!$B$5,EDATE(Assumptions!$B$5,Assumptions!$B$17),F96))))</f>
        <v>46327</v>
      </c>
      <c r="I96" s="16" t="str">
        <f t="shared" si="4"/>
        <v/>
      </c>
      <c r="J96" s="15" t="str">
        <f>IF(C96&lt;&gt;"OK","",IF(B96="INITIAL",EDATE(I96,Assumptions!$B$12)+Assumptions!$B$11,IF(B96="RECON",H96,"")))</f>
        <v/>
      </c>
      <c r="K96" s="15">
        <f>IF(C96&lt;&gt;"OK","",IF(B96="HEARING",'Case inputs'!D96,EDATE(J96,Assumptions!$B$13)))</f>
        <v>46082</v>
      </c>
      <c r="L96" s="15">
        <f>IF(C96&lt;&gt;"OK","",IF(G96="SCHEDULED",H96,EDATE(IF(B96="HEARING",H96,EDATE(K96,INT(D96))+ROUND(MOD(D96,1)*30.44,0)),Assumptions!$B$18)))</f>
        <v>46327</v>
      </c>
      <c r="M96" s="15">
        <f>IF(C96&lt;&gt;"OK","",EDATE(L96,Assumptions!$B$15))</f>
        <v>46357</v>
      </c>
      <c r="N96" s="17">
        <f>IF(C96&lt;&gt;"OK","",IF(B96="INITIAL",Assumptions!$B$21,0))</f>
        <v>0</v>
      </c>
      <c r="O96" s="17">
        <f>IF(C96&lt;&gt;"OK","",IF(B96="INITIAL",(1-Assumptions!$B$21)*Assumptions!$B$24*Assumptions!$B$22,IF(B96="RECON",Assumptions!$B$22,0)))</f>
        <v>0</v>
      </c>
      <c r="P96" s="17">
        <f>IF(C96&lt;&gt;"OK","",IF(B96="INITIAL",(1-Assumptions!$B$21)*Assumptions!$B$24*(1-Assumptions!$B$22)*Assumptions!$B$25,IF(B96="RECON",(1-Assumptions!$B$22)*Assumptions!$B$25,1)))</f>
        <v>1</v>
      </c>
      <c r="Q96" s="17">
        <f>IF(C96&lt;&gt;"OK","",IF(B96="INITIAL",(1-Assumptions!$B$21)*(1-Assumptions!$B$24),0))</f>
        <v>0</v>
      </c>
      <c r="R96" s="17">
        <f>IF(C96&lt;&gt;"OK","",IF(B96="INITIAL",(1-Assumptions!$B$21)*Assumptions!$B$24*(1-Assumptions!$B$22)*(1-Assumptions!$B$25),IF(B96="RECON",(1-Assumptions!$B$22)*(1-Assumptions!$B$25),0)))</f>
        <v>0</v>
      </c>
      <c r="S96" s="17">
        <f>IF(C96&lt;&gt;"OK","",P96*Assumptions!$B$23)</f>
        <v>0.55000000000000004</v>
      </c>
      <c r="T96" s="17">
        <f>IF(C96&lt;&gt;"OK","",P96*(1-Assumptions!$B$23))</f>
        <v>0.44999999999999996</v>
      </c>
      <c r="U96" s="18">
        <f t="shared" si="5"/>
        <v>1</v>
      </c>
      <c r="V96" s="15" t="str">
        <f>IF(C96&lt;&gt;"OK","",IF(B96="INITIAL",EDATE(I96,Assumptions!$B$14),""))</f>
        <v/>
      </c>
      <c r="W96" s="15" t="str">
        <f>IF(C96&lt;&gt;"OK","",IF(B96="HEARING","",EDATE(J96,Assumptions!$B$14)))</f>
        <v/>
      </c>
      <c r="X96" s="15">
        <f>IF(C96&lt;&gt;"OK","",EDATE(M96,Assumptions!$B$16))</f>
        <v>46419</v>
      </c>
    </row>
    <row r="97" spans="1:24" ht="22" customHeight="1">
      <c r="A97" s="11" t="str">
        <f>IF('Case inputs'!A97="","",'Case inputs'!A97)</f>
        <v>S-002</v>
      </c>
      <c r="B97" s="11" t="str">
        <f>IF(A97="","",'Case inputs'!C97)</f>
        <v>HEARING</v>
      </c>
      <c r="C97" s="11" t="str">
        <f>IF('Case inputs'!I97="","",IF(Assumptions!$B$38&lt;&gt;"OK","ASSUMPTIONS INVALID",'Case inputs'!I97))</f>
        <v>OK</v>
      </c>
      <c r="D97" s="11">
        <f>IF(C97&lt;&gt;"OK","",VLOOKUP('Case inputs'!E97,Benchmarks!$A$6:$C$164,3,FALSE))</f>
        <v>8</v>
      </c>
      <c r="E97" s="11">
        <f>IF(C97&lt;&gt;"OK","",Assumptions!$B$5-'Case inputs'!D97)</f>
        <v>214</v>
      </c>
      <c r="F97" s="15">
        <f>IF(C97&lt;&gt;"OK","",IF(B97="INITIAL",'Case inputs'!D97+Assumptions!$B$10,IF(B97="RECON",'Case inputs'!D97+Assumptions!$B$11,EDATE('Case inputs'!D97,INT(D97))+ROUND(MOD(D97,1)*30.44,0))))</f>
        <v>46327</v>
      </c>
      <c r="G97" s="11" t="str">
        <f>IF(C97&lt;&gt;"OK","",IF(AND(B97="HEARING",'Case inputs'!F97&lt;&gt;"",'Case inputs'!F97&gt;=Assumptions!$B$5),"SCHEDULED",IF('Case inputs'!G97&lt;&gt;"","REVIEWED OVERRIDE",IF(F97&lt;Assumptions!$B$5,"OVERDUE: FUTURE WINDOW","BENCHMARK SCENARIO"))))</f>
        <v>SCHEDULED</v>
      </c>
      <c r="H97" s="15">
        <f>IF(C97&lt;&gt;"OK","",IF(G97="SCHEDULED",'Case inputs'!F97,IF('Case inputs'!G97&lt;&gt;"",'Case inputs'!G97,IF(F97&lt;Assumptions!$B$5,EDATE(Assumptions!$B$5,Assumptions!$B$17),F97))))</f>
        <v>46327</v>
      </c>
      <c r="I97" s="16" t="str">
        <f t="shared" si="4"/>
        <v/>
      </c>
      <c r="J97" s="15" t="str">
        <f>IF(C97&lt;&gt;"OK","",IF(B97="INITIAL",EDATE(I97,Assumptions!$B$12)+Assumptions!$B$11,IF(B97="RECON",H97,"")))</f>
        <v/>
      </c>
      <c r="K97" s="15">
        <f>IF(C97&lt;&gt;"OK","",IF(B97="HEARING",'Case inputs'!D97,EDATE(J97,Assumptions!$B$13)))</f>
        <v>46082</v>
      </c>
      <c r="L97" s="15">
        <f>IF(C97&lt;&gt;"OK","",IF(G97="SCHEDULED",H97,EDATE(IF(B97="HEARING",H97,EDATE(K97,INT(D97))+ROUND(MOD(D97,1)*30.44,0)),Assumptions!$B$18)))</f>
        <v>46327</v>
      </c>
      <c r="M97" s="15">
        <f>IF(C97&lt;&gt;"OK","",EDATE(L97,Assumptions!$B$15))</f>
        <v>46357</v>
      </c>
      <c r="N97" s="17">
        <f>IF(C97&lt;&gt;"OK","",IF(B97="INITIAL",Assumptions!$B$21,0))</f>
        <v>0</v>
      </c>
      <c r="O97" s="17">
        <f>IF(C97&lt;&gt;"OK","",IF(B97="INITIAL",(1-Assumptions!$B$21)*Assumptions!$B$24*Assumptions!$B$22,IF(B97="RECON",Assumptions!$B$22,0)))</f>
        <v>0</v>
      </c>
      <c r="P97" s="17">
        <f>IF(C97&lt;&gt;"OK","",IF(B97="INITIAL",(1-Assumptions!$B$21)*Assumptions!$B$24*(1-Assumptions!$B$22)*Assumptions!$B$25,IF(B97="RECON",(1-Assumptions!$B$22)*Assumptions!$B$25,1)))</f>
        <v>1</v>
      </c>
      <c r="Q97" s="17">
        <f>IF(C97&lt;&gt;"OK","",IF(B97="INITIAL",(1-Assumptions!$B$21)*(1-Assumptions!$B$24),0))</f>
        <v>0</v>
      </c>
      <c r="R97" s="17">
        <f>IF(C97&lt;&gt;"OK","",IF(B97="INITIAL",(1-Assumptions!$B$21)*Assumptions!$B$24*(1-Assumptions!$B$22)*(1-Assumptions!$B$25),IF(B97="RECON",(1-Assumptions!$B$22)*(1-Assumptions!$B$25),0)))</f>
        <v>0</v>
      </c>
      <c r="S97" s="17">
        <f>IF(C97&lt;&gt;"OK","",P97*Assumptions!$B$23)</f>
        <v>0.55000000000000004</v>
      </c>
      <c r="T97" s="17">
        <f>IF(C97&lt;&gt;"OK","",P97*(1-Assumptions!$B$23))</f>
        <v>0.44999999999999996</v>
      </c>
      <c r="U97" s="18">
        <f t="shared" si="5"/>
        <v>1</v>
      </c>
      <c r="V97" s="15" t="str">
        <f>IF(C97&lt;&gt;"OK","",IF(B97="INITIAL",EDATE(I97,Assumptions!$B$14),""))</f>
        <v/>
      </c>
      <c r="W97" s="15" t="str">
        <f>IF(C97&lt;&gt;"OK","",IF(B97="HEARING","",EDATE(J97,Assumptions!$B$14)))</f>
        <v/>
      </c>
      <c r="X97" s="15">
        <f>IF(C97&lt;&gt;"OK","",EDATE(M97,Assumptions!$B$16))</f>
        <v>46419</v>
      </c>
    </row>
    <row r="98" spans="1:24" ht="22" customHeight="1">
      <c r="A98" s="11" t="str">
        <f>IF('Case inputs'!A98="","",'Case inputs'!A98)</f>
        <v>S-003</v>
      </c>
      <c r="B98" s="11" t="str">
        <f>IF(A98="","",'Case inputs'!C98)</f>
        <v>HEARING</v>
      </c>
      <c r="C98" s="11" t="str">
        <f>IF('Case inputs'!I98="","",IF(Assumptions!$B$38&lt;&gt;"OK","ASSUMPTIONS INVALID",'Case inputs'!I98))</f>
        <v>OK</v>
      </c>
      <c r="D98" s="11">
        <f>IF(C98&lt;&gt;"OK","",VLOOKUP('Case inputs'!E98,Benchmarks!$A$6:$C$164,3,FALSE))</f>
        <v>8</v>
      </c>
      <c r="E98" s="11">
        <f>IF(C98&lt;&gt;"OK","",Assumptions!$B$5-'Case inputs'!D98)</f>
        <v>214</v>
      </c>
      <c r="F98" s="15">
        <f>IF(C98&lt;&gt;"OK","",IF(B98="INITIAL",'Case inputs'!D98+Assumptions!$B$10,IF(B98="RECON",'Case inputs'!D98+Assumptions!$B$11,EDATE('Case inputs'!D98,INT(D98))+ROUND(MOD(D98,1)*30.44,0))))</f>
        <v>46327</v>
      </c>
      <c r="G98" s="11" t="str">
        <f>IF(C98&lt;&gt;"OK","",IF(AND(B98="HEARING",'Case inputs'!F98&lt;&gt;"",'Case inputs'!F98&gt;=Assumptions!$B$5),"SCHEDULED",IF('Case inputs'!G98&lt;&gt;"","REVIEWED OVERRIDE",IF(F98&lt;Assumptions!$B$5,"OVERDUE: FUTURE WINDOW","BENCHMARK SCENARIO"))))</f>
        <v>SCHEDULED</v>
      </c>
      <c r="H98" s="15">
        <f>IF(C98&lt;&gt;"OK","",IF(G98="SCHEDULED",'Case inputs'!F98,IF('Case inputs'!G98&lt;&gt;"",'Case inputs'!G98,IF(F98&lt;Assumptions!$B$5,EDATE(Assumptions!$B$5,Assumptions!$B$17),F98))))</f>
        <v>46327</v>
      </c>
      <c r="I98" s="16" t="str">
        <f t="shared" si="4"/>
        <v/>
      </c>
      <c r="J98" s="15" t="str">
        <f>IF(C98&lt;&gt;"OK","",IF(B98="INITIAL",EDATE(I98,Assumptions!$B$12)+Assumptions!$B$11,IF(B98="RECON",H98,"")))</f>
        <v/>
      </c>
      <c r="K98" s="15">
        <f>IF(C98&lt;&gt;"OK","",IF(B98="HEARING",'Case inputs'!D98,EDATE(J98,Assumptions!$B$13)))</f>
        <v>46082</v>
      </c>
      <c r="L98" s="15">
        <f>IF(C98&lt;&gt;"OK","",IF(G98="SCHEDULED",H98,EDATE(IF(B98="HEARING",H98,EDATE(K98,INT(D98))+ROUND(MOD(D98,1)*30.44,0)),Assumptions!$B$18)))</f>
        <v>46327</v>
      </c>
      <c r="M98" s="15">
        <f>IF(C98&lt;&gt;"OK","",EDATE(L98,Assumptions!$B$15))</f>
        <v>46357</v>
      </c>
      <c r="N98" s="17">
        <f>IF(C98&lt;&gt;"OK","",IF(B98="INITIAL",Assumptions!$B$21,0))</f>
        <v>0</v>
      </c>
      <c r="O98" s="17">
        <f>IF(C98&lt;&gt;"OK","",IF(B98="INITIAL",(1-Assumptions!$B$21)*Assumptions!$B$24*Assumptions!$B$22,IF(B98="RECON",Assumptions!$B$22,0)))</f>
        <v>0</v>
      </c>
      <c r="P98" s="17">
        <f>IF(C98&lt;&gt;"OK","",IF(B98="INITIAL",(1-Assumptions!$B$21)*Assumptions!$B$24*(1-Assumptions!$B$22)*Assumptions!$B$25,IF(B98="RECON",(1-Assumptions!$B$22)*Assumptions!$B$25,1)))</f>
        <v>1</v>
      </c>
      <c r="Q98" s="17">
        <f>IF(C98&lt;&gt;"OK","",IF(B98="INITIAL",(1-Assumptions!$B$21)*(1-Assumptions!$B$24),0))</f>
        <v>0</v>
      </c>
      <c r="R98" s="17">
        <f>IF(C98&lt;&gt;"OK","",IF(B98="INITIAL",(1-Assumptions!$B$21)*Assumptions!$B$24*(1-Assumptions!$B$22)*(1-Assumptions!$B$25),IF(B98="RECON",(1-Assumptions!$B$22)*(1-Assumptions!$B$25),0)))</f>
        <v>0</v>
      </c>
      <c r="S98" s="17">
        <f>IF(C98&lt;&gt;"OK","",P98*Assumptions!$B$23)</f>
        <v>0.55000000000000004</v>
      </c>
      <c r="T98" s="17">
        <f>IF(C98&lt;&gt;"OK","",P98*(1-Assumptions!$B$23))</f>
        <v>0.44999999999999996</v>
      </c>
      <c r="U98" s="18">
        <f t="shared" si="5"/>
        <v>1</v>
      </c>
      <c r="V98" s="15" t="str">
        <f>IF(C98&lt;&gt;"OK","",IF(B98="INITIAL",EDATE(I98,Assumptions!$B$14),""))</f>
        <v/>
      </c>
      <c r="W98" s="15" t="str">
        <f>IF(C98&lt;&gt;"OK","",IF(B98="HEARING","",EDATE(J98,Assumptions!$B$14)))</f>
        <v/>
      </c>
      <c r="X98" s="15">
        <f>IF(C98&lt;&gt;"OK","",EDATE(M98,Assumptions!$B$16))</f>
        <v>46419</v>
      </c>
    </row>
    <row r="99" spans="1:24" ht="22" customHeight="1">
      <c r="A99" s="11" t="str">
        <f>IF('Case inputs'!A99="","",'Case inputs'!A99)</f>
        <v>S-004</v>
      </c>
      <c r="B99" s="11" t="str">
        <f>IF(A99="","",'Case inputs'!C99)</f>
        <v>HEARING</v>
      </c>
      <c r="C99" s="11" t="str">
        <f>IF('Case inputs'!I99="","",IF(Assumptions!$B$38&lt;&gt;"OK","ASSUMPTIONS INVALID",'Case inputs'!I99))</f>
        <v>OK</v>
      </c>
      <c r="D99" s="11">
        <f>IF(C99&lt;&gt;"OK","",VLOOKUP('Case inputs'!E99,Benchmarks!$A$6:$C$164,3,FALSE))</f>
        <v>8</v>
      </c>
      <c r="E99" s="11">
        <f>IF(C99&lt;&gt;"OK","",Assumptions!$B$5-'Case inputs'!D99)</f>
        <v>214</v>
      </c>
      <c r="F99" s="15">
        <f>IF(C99&lt;&gt;"OK","",IF(B99="INITIAL",'Case inputs'!D99+Assumptions!$B$10,IF(B99="RECON",'Case inputs'!D99+Assumptions!$B$11,EDATE('Case inputs'!D99,INT(D99))+ROUND(MOD(D99,1)*30.44,0))))</f>
        <v>46327</v>
      </c>
      <c r="G99" s="11" t="str">
        <f>IF(C99&lt;&gt;"OK","",IF(AND(B99="HEARING",'Case inputs'!F99&lt;&gt;"",'Case inputs'!F99&gt;=Assumptions!$B$5),"SCHEDULED",IF('Case inputs'!G99&lt;&gt;"","REVIEWED OVERRIDE",IF(F99&lt;Assumptions!$B$5,"OVERDUE: FUTURE WINDOW","BENCHMARK SCENARIO"))))</f>
        <v>SCHEDULED</v>
      </c>
      <c r="H99" s="15">
        <f>IF(C99&lt;&gt;"OK","",IF(G99="SCHEDULED",'Case inputs'!F99,IF('Case inputs'!G99&lt;&gt;"",'Case inputs'!G99,IF(F99&lt;Assumptions!$B$5,EDATE(Assumptions!$B$5,Assumptions!$B$17),F99))))</f>
        <v>46327</v>
      </c>
      <c r="I99" s="16" t="str">
        <f t="shared" si="4"/>
        <v/>
      </c>
      <c r="J99" s="15" t="str">
        <f>IF(C99&lt;&gt;"OK","",IF(B99="INITIAL",EDATE(I99,Assumptions!$B$12)+Assumptions!$B$11,IF(B99="RECON",H99,"")))</f>
        <v/>
      </c>
      <c r="K99" s="15">
        <f>IF(C99&lt;&gt;"OK","",IF(B99="HEARING",'Case inputs'!D99,EDATE(J99,Assumptions!$B$13)))</f>
        <v>46082</v>
      </c>
      <c r="L99" s="15">
        <f>IF(C99&lt;&gt;"OK","",IF(G99="SCHEDULED",H99,EDATE(IF(B99="HEARING",H99,EDATE(K99,INT(D99))+ROUND(MOD(D99,1)*30.44,0)),Assumptions!$B$18)))</f>
        <v>46327</v>
      </c>
      <c r="M99" s="15">
        <f>IF(C99&lt;&gt;"OK","",EDATE(L99,Assumptions!$B$15))</f>
        <v>46357</v>
      </c>
      <c r="N99" s="17">
        <f>IF(C99&lt;&gt;"OK","",IF(B99="INITIAL",Assumptions!$B$21,0))</f>
        <v>0</v>
      </c>
      <c r="O99" s="17">
        <f>IF(C99&lt;&gt;"OK","",IF(B99="INITIAL",(1-Assumptions!$B$21)*Assumptions!$B$24*Assumptions!$B$22,IF(B99="RECON",Assumptions!$B$22,0)))</f>
        <v>0</v>
      </c>
      <c r="P99" s="17">
        <f>IF(C99&lt;&gt;"OK","",IF(B99="INITIAL",(1-Assumptions!$B$21)*Assumptions!$B$24*(1-Assumptions!$B$22)*Assumptions!$B$25,IF(B99="RECON",(1-Assumptions!$B$22)*Assumptions!$B$25,1)))</f>
        <v>1</v>
      </c>
      <c r="Q99" s="17">
        <f>IF(C99&lt;&gt;"OK","",IF(B99="INITIAL",(1-Assumptions!$B$21)*(1-Assumptions!$B$24),0))</f>
        <v>0</v>
      </c>
      <c r="R99" s="17">
        <f>IF(C99&lt;&gt;"OK","",IF(B99="INITIAL",(1-Assumptions!$B$21)*Assumptions!$B$24*(1-Assumptions!$B$22)*(1-Assumptions!$B$25),IF(B99="RECON",(1-Assumptions!$B$22)*(1-Assumptions!$B$25),0)))</f>
        <v>0</v>
      </c>
      <c r="S99" s="17">
        <f>IF(C99&lt;&gt;"OK","",P99*Assumptions!$B$23)</f>
        <v>0.55000000000000004</v>
      </c>
      <c r="T99" s="17">
        <f>IF(C99&lt;&gt;"OK","",P99*(1-Assumptions!$B$23))</f>
        <v>0.44999999999999996</v>
      </c>
      <c r="U99" s="18">
        <f t="shared" si="5"/>
        <v>1</v>
      </c>
      <c r="V99" s="15" t="str">
        <f>IF(C99&lt;&gt;"OK","",IF(B99="INITIAL",EDATE(I99,Assumptions!$B$14),""))</f>
        <v/>
      </c>
      <c r="W99" s="15" t="str">
        <f>IF(C99&lt;&gt;"OK","",IF(B99="HEARING","",EDATE(J99,Assumptions!$B$14)))</f>
        <v/>
      </c>
      <c r="X99" s="15">
        <f>IF(C99&lt;&gt;"OK","",EDATE(M99,Assumptions!$B$16))</f>
        <v>46419</v>
      </c>
    </row>
    <row r="100" spans="1:24" ht="22" customHeight="1">
      <c r="A100" s="11" t="str">
        <f>IF('Case inputs'!A100="","",'Case inputs'!A100)</f>
        <v>S-005</v>
      </c>
      <c r="B100" s="11" t="str">
        <f>IF(A100="","",'Case inputs'!C100)</f>
        <v>HEARING</v>
      </c>
      <c r="C100" s="11" t="str">
        <f>IF('Case inputs'!I100="","",IF(Assumptions!$B$38&lt;&gt;"OK","ASSUMPTIONS INVALID",'Case inputs'!I100))</f>
        <v>OK</v>
      </c>
      <c r="D100" s="11">
        <f>IF(C100&lt;&gt;"OK","",VLOOKUP('Case inputs'!E100,Benchmarks!$A$6:$C$164,3,FALSE))</f>
        <v>8</v>
      </c>
      <c r="E100" s="11">
        <f>IF(C100&lt;&gt;"OK","",Assumptions!$B$5-'Case inputs'!D100)</f>
        <v>214</v>
      </c>
      <c r="F100" s="15">
        <f>IF(C100&lt;&gt;"OK","",IF(B100="INITIAL",'Case inputs'!D100+Assumptions!$B$10,IF(B100="RECON",'Case inputs'!D100+Assumptions!$B$11,EDATE('Case inputs'!D100,INT(D100))+ROUND(MOD(D100,1)*30.44,0))))</f>
        <v>46327</v>
      </c>
      <c r="G100" s="11" t="str">
        <f>IF(C100&lt;&gt;"OK","",IF(AND(B100="HEARING",'Case inputs'!F100&lt;&gt;"",'Case inputs'!F100&gt;=Assumptions!$B$5),"SCHEDULED",IF('Case inputs'!G100&lt;&gt;"","REVIEWED OVERRIDE",IF(F100&lt;Assumptions!$B$5,"OVERDUE: FUTURE WINDOW","BENCHMARK SCENARIO"))))</f>
        <v>SCHEDULED</v>
      </c>
      <c r="H100" s="15">
        <f>IF(C100&lt;&gt;"OK","",IF(G100="SCHEDULED",'Case inputs'!F100,IF('Case inputs'!G100&lt;&gt;"",'Case inputs'!G100,IF(F100&lt;Assumptions!$B$5,EDATE(Assumptions!$B$5,Assumptions!$B$17),F100))))</f>
        <v>46327</v>
      </c>
      <c r="I100" s="16" t="str">
        <f t="shared" si="4"/>
        <v/>
      </c>
      <c r="J100" s="15" t="str">
        <f>IF(C100&lt;&gt;"OK","",IF(B100="INITIAL",EDATE(I100,Assumptions!$B$12)+Assumptions!$B$11,IF(B100="RECON",H100,"")))</f>
        <v/>
      </c>
      <c r="K100" s="15">
        <f>IF(C100&lt;&gt;"OK","",IF(B100="HEARING",'Case inputs'!D100,EDATE(J100,Assumptions!$B$13)))</f>
        <v>46082</v>
      </c>
      <c r="L100" s="15">
        <f>IF(C100&lt;&gt;"OK","",IF(G100="SCHEDULED",H100,EDATE(IF(B100="HEARING",H100,EDATE(K100,INT(D100))+ROUND(MOD(D100,1)*30.44,0)),Assumptions!$B$18)))</f>
        <v>46327</v>
      </c>
      <c r="M100" s="15">
        <f>IF(C100&lt;&gt;"OK","",EDATE(L100,Assumptions!$B$15))</f>
        <v>46357</v>
      </c>
      <c r="N100" s="17">
        <f>IF(C100&lt;&gt;"OK","",IF(B100="INITIAL",Assumptions!$B$21,0))</f>
        <v>0</v>
      </c>
      <c r="O100" s="17">
        <f>IF(C100&lt;&gt;"OK","",IF(B100="INITIAL",(1-Assumptions!$B$21)*Assumptions!$B$24*Assumptions!$B$22,IF(B100="RECON",Assumptions!$B$22,0)))</f>
        <v>0</v>
      </c>
      <c r="P100" s="17">
        <f>IF(C100&lt;&gt;"OK","",IF(B100="INITIAL",(1-Assumptions!$B$21)*Assumptions!$B$24*(1-Assumptions!$B$22)*Assumptions!$B$25,IF(B100="RECON",(1-Assumptions!$B$22)*Assumptions!$B$25,1)))</f>
        <v>1</v>
      </c>
      <c r="Q100" s="17">
        <f>IF(C100&lt;&gt;"OK","",IF(B100="INITIAL",(1-Assumptions!$B$21)*(1-Assumptions!$B$24),0))</f>
        <v>0</v>
      </c>
      <c r="R100" s="17">
        <f>IF(C100&lt;&gt;"OK","",IF(B100="INITIAL",(1-Assumptions!$B$21)*Assumptions!$B$24*(1-Assumptions!$B$22)*(1-Assumptions!$B$25),IF(B100="RECON",(1-Assumptions!$B$22)*(1-Assumptions!$B$25),0)))</f>
        <v>0</v>
      </c>
      <c r="S100" s="17">
        <f>IF(C100&lt;&gt;"OK","",P100*Assumptions!$B$23)</f>
        <v>0.55000000000000004</v>
      </c>
      <c r="T100" s="17">
        <f>IF(C100&lt;&gt;"OK","",P100*(1-Assumptions!$B$23))</f>
        <v>0.44999999999999996</v>
      </c>
      <c r="U100" s="18">
        <f t="shared" si="5"/>
        <v>1</v>
      </c>
      <c r="V100" s="15" t="str">
        <f>IF(C100&lt;&gt;"OK","",IF(B100="INITIAL",EDATE(I100,Assumptions!$B$14),""))</f>
        <v/>
      </c>
      <c r="W100" s="15" t="str">
        <f>IF(C100&lt;&gt;"OK","",IF(B100="HEARING","",EDATE(J100,Assumptions!$B$14)))</f>
        <v/>
      </c>
      <c r="X100" s="15">
        <f>IF(C100&lt;&gt;"OK","",EDATE(M100,Assumptions!$B$16))</f>
        <v>46419</v>
      </c>
    </row>
    <row r="101" spans="1:24" ht="22" customHeight="1">
      <c r="A101" s="11" t="str">
        <f>IF('Case inputs'!A101="","",'Case inputs'!A101)</f>
        <v>S-006</v>
      </c>
      <c r="B101" s="11" t="str">
        <f>IF(A101="","",'Case inputs'!C101)</f>
        <v>HEARING</v>
      </c>
      <c r="C101" s="11" t="str">
        <f>IF('Case inputs'!I101="","",IF(Assumptions!$B$38&lt;&gt;"OK","ASSUMPTIONS INVALID",'Case inputs'!I101))</f>
        <v>OK</v>
      </c>
      <c r="D101" s="11">
        <f>IF(C101&lt;&gt;"OK","",VLOOKUP('Case inputs'!E101,Benchmarks!$A$6:$C$164,3,FALSE))</f>
        <v>8</v>
      </c>
      <c r="E101" s="11">
        <f>IF(C101&lt;&gt;"OK","",Assumptions!$B$5-'Case inputs'!D101)</f>
        <v>214</v>
      </c>
      <c r="F101" s="15">
        <f>IF(C101&lt;&gt;"OK","",IF(B101="INITIAL",'Case inputs'!D101+Assumptions!$B$10,IF(B101="RECON",'Case inputs'!D101+Assumptions!$B$11,EDATE('Case inputs'!D101,INT(D101))+ROUND(MOD(D101,1)*30.44,0))))</f>
        <v>46327</v>
      </c>
      <c r="G101" s="11" t="str">
        <f>IF(C101&lt;&gt;"OK","",IF(AND(B101="HEARING",'Case inputs'!F101&lt;&gt;"",'Case inputs'!F101&gt;=Assumptions!$B$5),"SCHEDULED",IF('Case inputs'!G101&lt;&gt;"","REVIEWED OVERRIDE",IF(F101&lt;Assumptions!$B$5,"OVERDUE: FUTURE WINDOW","BENCHMARK SCENARIO"))))</f>
        <v>SCHEDULED</v>
      </c>
      <c r="H101" s="15">
        <f>IF(C101&lt;&gt;"OK","",IF(G101="SCHEDULED",'Case inputs'!F101,IF('Case inputs'!G101&lt;&gt;"",'Case inputs'!G101,IF(F101&lt;Assumptions!$B$5,EDATE(Assumptions!$B$5,Assumptions!$B$17),F101))))</f>
        <v>46357</v>
      </c>
      <c r="I101" s="16" t="str">
        <f t="shared" si="4"/>
        <v/>
      </c>
      <c r="J101" s="15" t="str">
        <f>IF(C101&lt;&gt;"OK","",IF(B101="INITIAL",EDATE(I101,Assumptions!$B$12)+Assumptions!$B$11,IF(B101="RECON",H101,"")))</f>
        <v/>
      </c>
      <c r="K101" s="15">
        <f>IF(C101&lt;&gt;"OK","",IF(B101="HEARING",'Case inputs'!D101,EDATE(J101,Assumptions!$B$13)))</f>
        <v>46082</v>
      </c>
      <c r="L101" s="15">
        <f>IF(C101&lt;&gt;"OK","",IF(G101="SCHEDULED",H101,EDATE(IF(B101="HEARING",H101,EDATE(K101,INT(D101))+ROUND(MOD(D101,1)*30.44,0)),Assumptions!$B$18)))</f>
        <v>46357</v>
      </c>
      <c r="M101" s="15">
        <f>IF(C101&lt;&gt;"OK","",EDATE(L101,Assumptions!$B$15))</f>
        <v>46388</v>
      </c>
      <c r="N101" s="17">
        <f>IF(C101&lt;&gt;"OK","",IF(B101="INITIAL",Assumptions!$B$21,0))</f>
        <v>0</v>
      </c>
      <c r="O101" s="17">
        <f>IF(C101&lt;&gt;"OK","",IF(B101="INITIAL",(1-Assumptions!$B$21)*Assumptions!$B$24*Assumptions!$B$22,IF(B101="RECON",Assumptions!$B$22,0)))</f>
        <v>0</v>
      </c>
      <c r="P101" s="17">
        <f>IF(C101&lt;&gt;"OK","",IF(B101="INITIAL",(1-Assumptions!$B$21)*Assumptions!$B$24*(1-Assumptions!$B$22)*Assumptions!$B$25,IF(B101="RECON",(1-Assumptions!$B$22)*Assumptions!$B$25,1)))</f>
        <v>1</v>
      </c>
      <c r="Q101" s="17">
        <f>IF(C101&lt;&gt;"OK","",IF(B101="INITIAL",(1-Assumptions!$B$21)*(1-Assumptions!$B$24),0))</f>
        <v>0</v>
      </c>
      <c r="R101" s="17">
        <f>IF(C101&lt;&gt;"OK","",IF(B101="INITIAL",(1-Assumptions!$B$21)*Assumptions!$B$24*(1-Assumptions!$B$22)*(1-Assumptions!$B$25),IF(B101="RECON",(1-Assumptions!$B$22)*(1-Assumptions!$B$25),0)))</f>
        <v>0</v>
      </c>
      <c r="S101" s="17">
        <f>IF(C101&lt;&gt;"OK","",P101*Assumptions!$B$23)</f>
        <v>0.55000000000000004</v>
      </c>
      <c r="T101" s="17">
        <f>IF(C101&lt;&gt;"OK","",P101*(1-Assumptions!$B$23))</f>
        <v>0.44999999999999996</v>
      </c>
      <c r="U101" s="18">
        <f t="shared" si="5"/>
        <v>1</v>
      </c>
      <c r="V101" s="15" t="str">
        <f>IF(C101&lt;&gt;"OK","",IF(B101="INITIAL",EDATE(I101,Assumptions!$B$14),""))</f>
        <v/>
      </c>
      <c r="W101" s="15" t="str">
        <f>IF(C101&lt;&gt;"OK","",IF(B101="HEARING","",EDATE(J101,Assumptions!$B$14)))</f>
        <v/>
      </c>
      <c r="X101" s="15">
        <f>IF(C101&lt;&gt;"OK","",EDATE(M101,Assumptions!$B$16))</f>
        <v>46447</v>
      </c>
    </row>
    <row r="102" spans="1:24" ht="22" customHeight="1">
      <c r="A102" s="11" t="str">
        <f>IF('Case inputs'!A102="","",'Case inputs'!A102)</f>
        <v>S-007</v>
      </c>
      <c r="B102" s="11" t="str">
        <f>IF(A102="","",'Case inputs'!C102)</f>
        <v>HEARING</v>
      </c>
      <c r="C102" s="11" t="str">
        <f>IF('Case inputs'!I102="","",IF(Assumptions!$B$38&lt;&gt;"OK","ASSUMPTIONS INVALID",'Case inputs'!I102))</f>
        <v>OK</v>
      </c>
      <c r="D102" s="11">
        <f>IF(C102&lt;&gt;"OK","",VLOOKUP('Case inputs'!E102,Benchmarks!$A$6:$C$164,3,FALSE))</f>
        <v>8</v>
      </c>
      <c r="E102" s="11">
        <f>IF(C102&lt;&gt;"OK","",Assumptions!$B$5-'Case inputs'!D102)</f>
        <v>214</v>
      </c>
      <c r="F102" s="15">
        <f>IF(C102&lt;&gt;"OK","",IF(B102="INITIAL",'Case inputs'!D102+Assumptions!$B$10,IF(B102="RECON",'Case inputs'!D102+Assumptions!$B$11,EDATE('Case inputs'!D102,INT(D102))+ROUND(MOD(D102,1)*30.44,0))))</f>
        <v>46327</v>
      </c>
      <c r="G102" s="11" t="str">
        <f>IF(C102&lt;&gt;"OK","",IF(AND(B102="HEARING",'Case inputs'!F102&lt;&gt;"",'Case inputs'!F102&gt;=Assumptions!$B$5),"SCHEDULED",IF('Case inputs'!G102&lt;&gt;"","REVIEWED OVERRIDE",IF(F102&lt;Assumptions!$B$5,"OVERDUE: FUTURE WINDOW","BENCHMARK SCENARIO"))))</f>
        <v>SCHEDULED</v>
      </c>
      <c r="H102" s="15">
        <f>IF(C102&lt;&gt;"OK","",IF(G102="SCHEDULED",'Case inputs'!F102,IF('Case inputs'!G102&lt;&gt;"",'Case inputs'!G102,IF(F102&lt;Assumptions!$B$5,EDATE(Assumptions!$B$5,Assumptions!$B$17),F102))))</f>
        <v>46357</v>
      </c>
      <c r="I102" s="16" t="str">
        <f t="shared" ref="I102:I133" si="6">IF(C102&lt;&gt;"OK","",IF(B102="INITIAL",H102,""))</f>
        <v/>
      </c>
      <c r="J102" s="15" t="str">
        <f>IF(C102&lt;&gt;"OK","",IF(B102="INITIAL",EDATE(I102,Assumptions!$B$12)+Assumptions!$B$11,IF(B102="RECON",H102,"")))</f>
        <v/>
      </c>
      <c r="K102" s="15">
        <f>IF(C102&lt;&gt;"OK","",IF(B102="HEARING",'Case inputs'!D102,EDATE(J102,Assumptions!$B$13)))</f>
        <v>46082</v>
      </c>
      <c r="L102" s="15">
        <f>IF(C102&lt;&gt;"OK","",IF(G102="SCHEDULED",H102,EDATE(IF(B102="HEARING",H102,EDATE(K102,INT(D102))+ROUND(MOD(D102,1)*30.44,0)),Assumptions!$B$18)))</f>
        <v>46357</v>
      </c>
      <c r="M102" s="15">
        <f>IF(C102&lt;&gt;"OK","",EDATE(L102,Assumptions!$B$15))</f>
        <v>46388</v>
      </c>
      <c r="N102" s="17">
        <f>IF(C102&lt;&gt;"OK","",IF(B102="INITIAL",Assumptions!$B$21,0))</f>
        <v>0</v>
      </c>
      <c r="O102" s="17">
        <f>IF(C102&lt;&gt;"OK","",IF(B102="INITIAL",(1-Assumptions!$B$21)*Assumptions!$B$24*Assumptions!$B$22,IF(B102="RECON",Assumptions!$B$22,0)))</f>
        <v>0</v>
      </c>
      <c r="P102" s="17">
        <f>IF(C102&lt;&gt;"OK","",IF(B102="INITIAL",(1-Assumptions!$B$21)*Assumptions!$B$24*(1-Assumptions!$B$22)*Assumptions!$B$25,IF(B102="RECON",(1-Assumptions!$B$22)*Assumptions!$B$25,1)))</f>
        <v>1</v>
      </c>
      <c r="Q102" s="17">
        <f>IF(C102&lt;&gt;"OK","",IF(B102="INITIAL",(1-Assumptions!$B$21)*(1-Assumptions!$B$24),0))</f>
        <v>0</v>
      </c>
      <c r="R102" s="17">
        <f>IF(C102&lt;&gt;"OK","",IF(B102="INITIAL",(1-Assumptions!$B$21)*Assumptions!$B$24*(1-Assumptions!$B$22)*(1-Assumptions!$B$25),IF(B102="RECON",(1-Assumptions!$B$22)*(1-Assumptions!$B$25),0)))</f>
        <v>0</v>
      </c>
      <c r="S102" s="17">
        <f>IF(C102&lt;&gt;"OK","",P102*Assumptions!$B$23)</f>
        <v>0.55000000000000004</v>
      </c>
      <c r="T102" s="17">
        <f>IF(C102&lt;&gt;"OK","",P102*(1-Assumptions!$B$23))</f>
        <v>0.44999999999999996</v>
      </c>
      <c r="U102" s="18">
        <f t="shared" ref="U102:U133" si="7">IF(C102&lt;&gt;"OK","",SUM(N102:O102,Q102:T102))</f>
        <v>1</v>
      </c>
      <c r="V102" s="15" t="str">
        <f>IF(C102&lt;&gt;"OK","",IF(B102="INITIAL",EDATE(I102,Assumptions!$B$14),""))</f>
        <v/>
      </c>
      <c r="W102" s="15" t="str">
        <f>IF(C102&lt;&gt;"OK","",IF(B102="HEARING","",EDATE(J102,Assumptions!$B$14)))</f>
        <v/>
      </c>
      <c r="X102" s="15">
        <f>IF(C102&lt;&gt;"OK","",EDATE(M102,Assumptions!$B$16))</f>
        <v>46447</v>
      </c>
    </row>
    <row r="103" spans="1:24" ht="22" customHeight="1">
      <c r="A103" s="11" t="str">
        <f>IF('Case inputs'!A103="","",'Case inputs'!A103)</f>
        <v>S-008</v>
      </c>
      <c r="B103" s="11" t="str">
        <f>IF(A103="","",'Case inputs'!C103)</f>
        <v>HEARING</v>
      </c>
      <c r="C103" s="11" t="str">
        <f>IF('Case inputs'!I103="","",IF(Assumptions!$B$38&lt;&gt;"OK","ASSUMPTIONS INVALID",'Case inputs'!I103))</f>
        <v>OK</v>
      </c>
      <c r="D103" s="11">
        <f>IF(C103&lt;&gt;"OK","",VLOOKUP('Case inputs'!E103,Benchmarks!$A$6:$C$164,3,FALSE))</f>
        <v>8</v>
      </c>
      <c r="E103" s="11">
        <f>IF(C103&lt;&gt;"OK","",Assumptions!$B$5-'Case inputs'!D103)</f>
        <v>214</v>
      </c>
      <c r="F103" s="15">
        <f>IF(C103&lt;&gt;"OK","",IF(B103="INITIAL",'Case inputs'!D103+Assumptions!$B$10,IF(B103="RECON",'Case inputs'!D103+Assumptions!$B$11,EDATE('Case inputs'!D103,INT(D103))+ROUND(MOD(D103,1)*30.44,0))))</f>
        <v>46327</v>
      </c>
      <c r="G103" s="11" t="str">
        <f>IF(C103&lt;&gt;"OK","",IF(AND(B103="HEARING",'Case inputs'!F103&lt;&gt;"",'Case inputs'!F103&gt;=Assumptions!$B$5),"SCHEDULED",IF('Case inputs'!G103&lt;&gt;"","REVIEWED OVERRIDE",IF(F103&lt;Assumptions!$B$5,"OVERDUE: FUTURE WINDOW","BENCHMARK SCENARIO"))))</f>
        <v>SCHEDULED</v>
      </c>
      <c r="H103" s="15">
        <f>IF(C103&lt;&gt;"OK","",IF(G103="SCHEDULED",'Case inputs'!F103,IF('Case inputs'!G103&lt;&gt;"",'Case inputs'!G103,IF(F103&lt;Assumptions!$B$5,EDATE(Assumptions!$B$5,Assumptions!$B$17),F103))))</f>
        <v>46357</v>
      </c>
      <c r="I103" s="16" t="str">
        <f t="shared" si="6"/>
        <v/>
      </c>
      <c r="J103" s="15" t="str">
        <f>IF(C103&lt;&gt;"OK","",IF(B103="INITIAL",EDATE(I103,Assumptions!$B$12)+Assumptions!$B$11,IF(B103="RECON",H103,"")))</f>
        <v/>
      </c>
      <c r="K103" s="15">
        <f>IF(C103&lt;&gt;"OK","",IF(B103="HEARING",'Case inputs'!D103,EDATE(J103,Assumptions!$B$13)))</f>
        <v>46082</v>
      </c>
      <c r="L103" s="15">
        <f>IF(C103&lt;&gt;"OK","",IF(G103="SCHEDULED",H103,EDATE(IF(B103="HEARING",H103,EDATE(K103,INT(D103))+ROUND(MOD(D103,1)*30.44,0)),Assumptions!$B$18)))</f>
        <v>46357</v>
      </c>
      <c r="M103" s="15">
        <f>IF(C103&lt;&gt;"OK","",EDATE(L103,Assumptions!$B$15))</f>
        <v>46388</v>
      </c>
      <c r="N103" s="17">
        <f>IF(C103&lt;&gt;"OK","",IF(B103="INITIAL",Assumptions!$B$21,0))</f>
        <v>0</v>
      </c>
      <c r="O103" s="17">
        <f>IF(C103&lt;&gt;"OK","",IF(B103="INITIAL",(1-Assumptions!$B$21)*Assumptions!$B$24*Assumptions!$B$22,IF(B103="RECON",Assumptions!$B$22,0)))</f>
        <v>0</v>
      </c>
      <c r="P103" s="17">
        <f>IF(C103&lt;&gt;"OK","",IF(B103="INITIAL",(1-Assumptions!$B$21)*Assumptions!$B$24*(1-Assumptions!$B$22)*Assumptions!$B$25,IF(B103="RECON",(1-Assumptions!$B$22)*Assumptions!$B$25,1)))</f>
        <v>1</v>
      </c>
      <c r="Q103" s="17">
        <f>IF(C103&lt;&gt;"OK","",IF(B103="INITIAL",(1-Assumptions!$B$21)*(1-Assumptions!$B$24),0))</f>
        <v>0</v>
      </c>
      <c r="R103" s="17">
        <f>IF(C103&lt;&gt;"OK","",IF(B103="INITIAL",(1-Assumptions!$B$21)*Assumptions!$B$24*(1-Assumptions!$B$22)*(1-Assumptions!$B$25),IF(B103="RECON",(1-Assumptions!$B$22)*(1-Assumptions!$B$25),0)))</f>
        <v>0</v>
      </c>
      <c r="S103" s="17">
        <f>IF(C103&lt;&gt;"OK","",P103*Assumptions!$B$23)</f>
        <v>0.55000000000000004</v>
      </c>
      <c r="T103" s="17">
        <f>IF(C103&lt;&gt;"OK","",P103*(1-Assumptions!$B$23))</f>
        <v>0.44999999999999996</v>
      </c>
      <c r="U103" s="18">
        <f t="shared" si="7"/>
        <v>1</v>
      </c>
      <c r="V103" s="15" t="str">
        <f>IF(C103&lt;&gt;"OK","",IF(B103="INITIAL",EDATE(I103,Assumptions!$B$14),""))</f>
        <v/>
      </c>
      <c r="W103" s="15" t="str">
        <f>IF(C103&lt;&gt;"OK","",IF(B103="HEARING","",EDATE(J103,Assumptions!$B$14)))</f>
        <v/>
      </c>
      <c r="X103" s="15">
        <f>IF(C103&lt;&gt;"OK","",EDATE(M103,Assumptions!$B$16))</f>
        <v>46447</v>
      </c>
    </row>
    <row r="104" spans="1:24" ht="22" customHeight="1">
      <c r="A104" s="11" t="str">
        <f>IF('Case inputs'!A104="","",'Case inputs'!A104)</f>
        <v>S-009</v>
      </c>
      <c r="B104" s="11" t="str">
        <f>IF(A104="","",'Case inputs'!C104)</f>
        <v>HEARING</v>
      </c>
      <c r="C104" s="11" t="str">
        <f>IF('Case inputs'!I104="","",IF(Assumptions!$B$38&lt;&gt;"OK","ASSUMPTIONS INVALID",'Case inputs'!I104))</f>
        <v>OK</v>
      </c>
      <c r="D104" s="11">
        <f>IF(C104&lt;&gt;"OK","",VLOOKUP('Case inputs'!E104,Benchmarks!$A$6:$C$164,3,FALSE))</f>
        <v>8</v>
      </c>
      <c r="E104" s="11">
        <f>IF(C104&lt;&gt;"OK","",Assumptions!$B$5-'Case inputs'!D104)</f>
        <v>214</v>
      </c>
      <c r="F104" s="15">
        <f>IF(C104&lt;&gt;"OK","",IF(B104="INITIAL",'Case inputs'!D104+Assumptions!$B$10,IF(B104="RECON",'Case inputs'!D104+Assumptions!$B$11,EDATE('Case inputs'!D104,INT(D104))+ROUND(MOD(D104,1)*30.44,0))))</f>
        <v>46327</v>
      </c>
      <c r="G104" s="11" t="str">
        <f>IF(C104&lt;&gt;"OK","",IF(AND(B104="HEARING",'Case inputs'!F104&lt;&gt;"",'Case inputs'!F104&gt;=Assumptions!$B$5),"SCHEDULED",IF('Case inputs'!G104&lt;&gt;"","REVIEWED OVERRIDE",IF(F104&lt;Assumptions!$B$5,"OVERDUE: FUTURE WINDOW","BENCHMARK SCENARIO"))))</f>
        <v>SCHEDULED</v>
      </c>
      <c r="H104" s="15">
        <f>IF(C104&lt;&gt;"OK","",IF(G104="SCHEDULED",'Case inputs'!F104,IF('Case inputs'!G104&lt;&gt;"",'Case inputs'!G104,IF(F104&lt;Assumptions!$B$5,EDATE(Assumptions!$B$5,Assumptions!$B$17),F104))))</f>
        <v>46357</v>
      </c>
      <c r="I104" s="16" t="str">
        <f t="shared" si="6"/>
        <v/>
      </c>
      <c r="J104" s="15" t="str">
        <f>IF(C104&lt;&gt;"OK","",IF(B104="INITIAL",EDATE(I104,Assumptions!$B$12)+Assumptions!$B$11,IF(B104="RECON",H104,"")))</f>
        <v/>
      </c>
      <c r="K104" s="15">
        <f>IF(C104&lt;&gt;"OK","",IF(B104="HEARING",'Case inputs'!D104,EDATE(J104,Assumptions!$B$13)))</f>
        <v>46082</v>
      </c>
      <c r="L104" s="15">
        <f>IF(C104&lt;&gt;"OK","",IF(G104="SCHEDULED",H104,EDATE(IF(B104="HEARING",H104,EDATE(K104,INT(D104))+ROUND(MOD(D104,1)*30.44,0)),Assumptions!$B$18)))</f>
        <v>46357</v>
      </c>
      <c r="M104" s="15">
        <f>IF(C104&lt;&gt;"OK","",EDATE(L104,Assumptions!$B$15))</f>
        <v>46388</v>
      </c>
      <c r="N104" s="17">
        <f>IF(C104&lt;&gt;"OK","",IF(B104="INITIAL",Assumptions!$B$21,0))</f>
        <v>0</v>
      </c>
      <c r="O104" s="17">
        <f>IF(C104&lt;&gt;"OK","",IF(B104="INITIAL",(1-Assumptions!$B$21)*Assumptions!$B$24*Assumptions!$B$22,IF(B104="RECON",Assumptions!$B$22,0)))</f>
        <v>0</v>
      </c>
      <c r="P104" s="17">
        <f>IF(C104&lt;&gt;"OK","",IF(B104="INITIAL",(1-Assumptions!$B$21)*Assumptions!$B$24*(1-Assumptions!$B$22)*Assumptions!$B$25,IF(B104="RECON",(1-Assumptions!$B$22)*Assumptions!$B$25,1)))</f>
        <v>1</v>
      </c>
      <c r="Q104" s="17">
        <f>IF(C104&lt;&gt;"OK","",IF(B104="INITIAL",(1-Assumptions!$B$21)*(1-Assumptions!$B$24),0))</f>
        <v>0</v>
      </c>
      <c r="R104" s="17">
        <f>IF(C104&lt;&gt;"OK","",IF(B104="INITIAL",(1-Assumptions!$B$21)*Assumptions!$B$24*(1-Assumptions!$B$22)*(1-Assumptions!$B$25),IF(B104="RECON",(1-Assumptions!$B$22)*(1-Assumptions!$B$25),0)))</f>
        <v>0</v>
      </c>
      <c r="S104" s="17">
        <f>IF(C104&lt;&gt;"OK","",P104*Assumptions!$B$23)</f>
        <v>0.55000000000000004</v>
      </c>
      <c r="T104" s="17">
        <f>IF(C104&lt;&gt;"OK","",P104*(1-Assumptions!$B$23))</f>
        <v>0.44999999999999996</v>
      </c>
      <c r="U104" s="18">
        <f t="shared" si="7"/>
        <v>1</v>
      </c>
      <c r="V104" s="15" t="str">
        <f>IF(C104&lt;&gt;"OK","",IF(B104="INITIAL",EDATE(I104,Assumptions!$B$14),""))</f>
        <v/>
      </c>
      <c r="W104" s="15" t="str">
        <f>IF(C104&lt;&gt;"OK","",IF(B104="HEARING","",EDATE(J104,Assumptions!$B$14)))</f>
        <v/>
      </c>
      <c r="X104" s="15">
        <f>IF(C104&lt;&gt;"OK","",EDATE(M104,Assumptions!$B$16))</f>
        <v>46447</v>
      </c>
    </row>
    <row r="105" spans="1:24" ht="22" customHeight="1">
      <c r="A105" s="11" t="str">
        <f>IF('Case inputs'!A105="","",'Case inputs'!A105)</f>
        <v>S-010</v>
      </c>
      <c r="B105" s="11" t="str">
        <f>IF(A105="","",'Case inputs'!C105)</f>
        <v>HEARING</v>
      </c>
      <c r="C105" s="11" t="str">
        <f>IF('Case inputs'!I105="","",IF(Assumptions!$B$38&lt;&gt;"OK","ASSUMPTIONS INVALID",'Case inputs'!I105))</f>
        <v>OK</v>
      </c>
      <c r="D105" s="11">
        <f>IF(C105&lt;&gt;"OK","",VLOOKUP('Case inputs'!E105,Benchmarks!$A$6:$C$164,3,FALSE))</f>
        <v>8</v>
      </c>
      <c r="E105" s="11">
        <f>IF(C105&lt;&gt;"OK","",Assumptions!$B$5-'Case inputs'!D105)</f>
        <v>214</v>
      </c>
      <c r="F105" s="15">
        <f>IF(C105&lt;&gt;"OK","",IF(B105="INITIAL",'Case inputs'!D105+Assumptions!$B$10,IF(B105="RECON",'Case inputs'!D105+Assumptions!$B$11,EDATE('Case inputs'!D105,INT(D105))+ROUND(MOD(D105,1)*30.44,0))))</f>
        <v>46327</v>
      </c>
      <c r="G105" s="11" t="str">
        <f>IF(C105&lt;&gt;"OK","",IF(AND(B105="HEARING",'Case inputs'!F105&lt;&gt;"",'Case inputs'!F105&gt;=Assumptions!$B$5),"SCHEDULED",IF('Case inputs'!G105&lt;&gt;"","REVIEWED OVERRIDE",IF(F105&lt;Assumptions!$B$5,"OVERDUE: FUTURE WINDOW","BENCHMARK SCENARIO"))))</f>
        <v>SCHEDULED</v>
      </c>
      <c r="H105" s="15">
        <f>IF(C105&lt;&gt;"OK","",IF(G105="SCHEDULED",'Case inputs'!F105,IF('Case inputs'!G105&lt;&gt;"",'Case inputs'!G105,IF(F105&lt;Assumptions!$B$5,EDATE(Assumptions!$B$5,Assumptions!$B$17),F105))))</f>
        <v>46357</v>
      </c>
      <c r="I105" s="16" t="str">
        <f t="shared" si="6"/>
        <v/>
      </c>
      <c r="J105" s="15" t="str">
        <f>IF(C105&lt;&gt;"OK","",IF(B105="INITIAL",EDATE(I105,Assumptions!$B$12)+Assumptions!$B$11,IF(B105="RECON",H105,"")))</f>
        <v/>
      </c>
      <c r="K105" s="15">
        <f>IF(C105&lt;&gt;"OK","",IF(B105="HEARING",'Case inputs'!D105,EDATE(J105,Assumptions!$B$13)))</f>
        <v>46082</v>
      </c>
      <c r="L105" s="15">
        <f>IF(C105&lt;&gt;"OK","",IF(G105="SCHEDULED",H105,EDATE(IF(B105="HEARING",H105,EDATE(K105,INT(D105))+ROUND(MOD(D105,1)*30.44,0)),Assumptions!$B$18)))</f>
        <v>46357</v>
      </c>
      <c r="M105" s="15">
        <f>IF(C105&lt;&gt;"OK","",EDATE(L105,Assumptions!$B$15))</f>
        <v>46388</v>
      </c>
      <c r="N105" s="17">
        <f>IF(C105&lt;&gt;"OK","",IF(B105="INITIAL",Assumptions!$B$21,0))</f>
        <v>0</v>
      </c>
      <c r="O105" s="17">
        <f>IF(C105&lt;&gt;"OK","",IF(B105="INITIAL",(1-Assumptions!$B$21)*Assumptions!$B$24*Assumptions!$B$22,IF(B105="RECON",Assumptions!$B$22,0)))</f>
        <v>0</v>
      </c>
      <c r="P105" s="17">
        <f>IF(C105&lt;&gt;"OK","",IF(B105="INITIAL",(1-Assumptions!$B$21)*Assumptions!$B$24*(1-Assumptions!$B$22)*Assumptions!$B$25,IF(B105="RECON",(1-Assumptions!$B$22)*Assumptions!$B$25,1)))</f>
        <v>1</v>
      </c>
      <c r="Q105" s="17">
        <f>IF(C105&lt;&gt;"OK","",IF(B105="INITIAL",(1-Assumptions!$B$21)*(1-Assumptions!$B$24),0))</f>
        <v>0</v>
      </c>
      <c r="R105" s="17">
        <f>IF(C105&lt;&gt;"OK","",IF(B105="INITIAL",(1-Assumptions!$B$21)*Assumptions!$B$24*(1-Assumptions!$B$22)*(1-Assumptions!$B$25),IF(B105="RECON",(1-Assumptions!$B$22)*(1-Assumptions!$B$25),0)))</f>
        <v>0</v>
      </c>
      <c r="S105" s="17">
        <f>IF(C105&lt;&gt;"OK","",P105*Assumptions!$B$23)</f>
        <v>0.55000000000000004</v>
      </c>
      <c r="T105" s="17">
        <f>IF(C105&lt;&gt;"OK","",P105*(1-Assumptions!$B$23))</f>
        <v>0.44999999999999996</v>
      </c>
      <c r="U105" s="18">
        <f t="shared" si="7"/>
        <v>1</v>
      </c>
      <c r="V105" s="15" t="str">
        <f>IF(C105&lt;&gt;"OK","",IF(B105="INITIAL",EDATE(I105,Assumptions!$B$14),""))</f>
        <v/>
      </c>
      <c r="W105" s="15" t="str">
        <f>IF(C105&lt;&gt;"OK","",IF(B105="HEARING","",EDATE(J105,Assumptions!$B$14)))</f>
        <v/>
      </c>
      <c r="X105" s="15">
        <f>IF(C105&lt;&gt;"OK","",EDATE(M105,Assumptions!$B$16))</f>
        <v>46447</v>
      </c>
    </row>
    <row r="106" spans="1:24" ht="22" customHeight="1">
      <c r="A106" s="11" t="str">
        <f>IF('Case inputs'!A106="","",'Case inputs'!A106)</f>
        <v/>
      </c>
      <c r="B106" s="11" t="str">
        <f>IF(A106="","",'Case inputs'!C106)</f>
        <v/>
      </c>
      <c r="C106" s="11" t="str">
        <f>IF('Case inputs'!I106="","",IF(Assumptions!$B$38&lt;&gt;"OK","ASSUMPTIONS INVALID",'Case inputs'!I106))</f>
        <v/>
      </c>
      <c r="D106" s="11" t="str">
        <f>IF(C106&lt;&gt;"OK","",VLOOKUP('Case inputs'!E106,Benchmarks!$A$6:$C$164,3,FALSE))</f>
        <v/>
      </c>
      <c r="E106" s="11" t="str">
        <f>IF(C106&lt;&gt;"OK","",Assumptions!$B$5-'Case inputs'!D106)</f>
        <v/>
      </c>
      <c r="F106" s="15" t="str">
        <f>IF(C106&lt;&gt;"OK","",IF(B106="INITIAL",'Case inputs'!D106+Assumptions!$B$10,IF(B106="RECON",'Case inputs'!D106+Assumptions!$B$11,EDATE('Case inputs'!D106,INT(D106))+ROUND(MOD(D106,1)*30.44,0))))</f>
        <v/>
      </c>
      <c r="G106" s="11" t="str">
        <f>IF(C106&lt;&gt;"OK","",IF(AND(B106="HEARING",'Case inputs'!F106&lt;&gt;"",'Case inputs'!F106&gt;=Assumptions!$B$5),"SCHEDULED",IF('Case inputs'!G106&lt;&gt;"","REVIEWED OVERRIDE",IF(F106&lt;Assumptions!$B$5,"OVERDUE: FUTURE WINDOW","BENCHMARK SCENARIO"))))</f>
        <v/>
      </c>
      <c r="H106" s="15" t="str">
        <f>IF(C106&lt;&gt;"OK","",IF(G106="SCHEDULED",'Case inputs'!F106,IF('Case inputs'!G106&lt;&gt;"",'Case inputs'!G106,IF(F106&lt;Assumptions!$B$5,EDATE(Assumptions!$B$5,Assumptions!$B$17),F106))))</f>
        <v/>
      </c>
      <c r="I106" s="16" t="str">
        <f t="shared" si="6"/>
        <v/>
      </c>
      <c r="J106" s="15" t="str">
        <f>IF(C106&lt;&gt;"OK","",IF(B106="INITIAL",EDATE(I106,Assumptions!$B$12)+Assumptions!$B$11,IF(B106="RECON",H106,"")))</f>
        <v/>
      </c>
      <c r="K106" s="15" t="str">
        <f>IF(C106&lt;&gt;"OK","",IF(B106="HEARING",'Case inputs'!D106,EDATE(J106,Assumptions!$B$13)))</f>
        <v/>
      </c>
      <c r="L106" s="15" t="str">
        <f>IF(C106&lt;&gt;"OK","",IF(G106="SCHEDULED",H106,EDATE(IF(B106="HEARING",H106,EDATE(K106,INT(D106))+ROUND(MOD(D106,1)*30.44,0)),Assumptions!$B$18)))</f>
        <v/>
      </c>
      <c r="M106" s="15" t="str">
        <f>IF(C106&lt;&gt;"OK","",EDATE(L106,Assumptions!$B$15))</f>
        <v/>
      </c>
      <c r="N106" s="17" t="str">
        <f>IF(C106&lt;&gt;"OK","",IF(B106="INITIAL",Assumptions!$B$21,0))</f>
        <v/>
      </c>
      <c r="O106" s="17" t="str">
        <f>IF(C106&lt;&gt;"OK","",IF(B106="INITIAL",(1-Assumptions!$B$21)*Assumptions!$B$24*Assumptions!$B$22,IF(B106="RECON",Assumptions!$B$22,0)))</f>
        <v/>
      </c>
      <c r="P106" s="17" t="str">
        <f>IF(C106&lt;&gt;"OK","",IF(B106="INITIAL",(1-Assumptions!$B$21)*Assumptions!$B$24*(1-Assumptions!$B$22)*Assumptions!$B$25,IF(B106="RECON",(1-Assumptions!$B$22)*Assumptions!$B$25,1)))</f>
        <v/>
      </c>
      <c r="Q106" s="17" t="str">
        <f>IF(C106&lt;&gt;"OK","",IF(B106="INITIAL",(1-Assumptions!$B$21)*(1-Assumptions!$B$24),0))</f>
        <v/>
      </c>
      <c r="R106" s="17" t="str">
        <f>IF(C106&lt;&gt;"OK","",IF(B106="INITIAL",(1-Assumptions!$B$21)*Assumptions!$B$24*(1-Assumptions!$B$22)*(1-Assumptions!$B$25),IF(B106="RECON",(1-Assumptions!$B$22)*(1-Assumptions!$B$25),0)))</f>
        <v/>
      </c>
      <c r="S106" s="17" t="str">
        <f>IF(C106&lt;&gt;"OK","",P106*Assumptions!$B$23)</f>
        <v/>
      </c>
      <c r="T106" s="17" t="str">
        <f>IF(C106&lt;&gt;"OK","",P106*(1-Assumptions!$B$23))</f>
        <v/>
      </c>
      <c r="U106" s="18" t="str">
        <f t="shared" si="7"/>
        <v/>
      </c>
      <c r="V106" s="15" t="str">
        <f>IF(C106&lt;&gt;"OK","",IF(B106="INITIAL",EDATE(I106,Assumptions!$B$14),""))</f>
        <v/>
      </c>
      <c r="W106" s="15" t="str">
        <f>IF(C106&lt;&gt;"OK","",IF(B106="HEARING","",EDATE(J106,Assumptions!$B$14)))</f>
        <v/>
      </c>
      <c r="X106" s="15" t="str">
        <f>IF(C106&lt;&gt;"OK","",EDATE(M106,Assumptions!$B$16))</f>
        <v/>
      </c>
    </row>
    <row r="107" spans="1:24" ht="22" customHeight="1">
      <c r="A107" s="11" t="str">
        <f>IF('Case inputs'!A107="","",'Case inputs'!A107)</f>
        <v/>
      </c>
      <c r="B107" s="11" t="str">
        <f>IF(A107="","",'Case inputs'!C107)</f>
        <v/>
      </c>
      <c r="C107" s="11" t="str">
        <f>IF('Case inputs'!I107="","",IF(Assumptions!$B$38&lt;&gt;"OK","ASSUMPTIONS INVALID",'Case inputs'!I107))</f>
        <v/>
      </c>
      <c r="D107" s="11" t="str">
        <f>IF(C107&lt;&gt;"OK","",VLOOKUP('Case inputs'!E107,Benchmarks!$A$6:$C$164,3,FALSE))</f>
        <v/>
      </c>
      <c r="E107" s="11" t="str">
        <f>IF(C107&lt;&gt;"OK","",Assumptions!$B$5-'Case inputs'!D107)</f>
        <v/>
      </c>
      <c r="F107" s="15" t="str">
        <f>IF(C107&lt;&gt;"OK","",IF(B107="INITIAL",'Case inputs'!D107+Assumptions!$B$10,IF(B107="RECON",'Case inputs'!D107+Assumptions!$B$11,EDATE('Case inputs'!D107,INT(D107))+ROUND(MOD(D107,1)*30.44,0))))</f>
        <v/>
      </c>
      <c r="G107" s="11" t="str">
        <f>IF(C107&lt;&gt;"OK","",IF(AND(B107="HEARING",'Case inputs'!F107&lt;&gt;"",'Case inputs'!F107&gt;=Assumptions!$B$5),"SCHEDULED",IF('Case inputs'!G107&lt;&gt;"","REVIEWED OVERRIDE",IF(F107&lt;Assumptions!$B$5,"OVERDUE: FUTURE WINDOW","BENCHMARK SCENARIO"))))</f>
        <v/>
      </c>
      <c r="H107" s="15" t="str">
        <f>IF(C107&lt;&gt;"OK","",IF(G107="SCHEDULED",'Case inputs'!F107,IF('Case inputs'!G107&lt;&gt;"",'Case inputs'!G107,IF(F107&lt;Assumptions!$B$5,EDATE(Assumptions!$B$5,Assumptions!$B$17),F107))))</f>
        <v/>
      </c>
      <c r="I107" s="16" t="str">
        <f t="shared" si="6"/>
        <v/>
      </c>
      <c r="J107" s="15" t="str">
        <f>IF(C107&lt;&gt;"OK","",IF(B107="INITIAL",EDATE(I107,Assumptions!$B$12)+Assumptions!$B$11,IF(B107="RECON",H107,"")))</f>
        <v/>
      </c>
      <c r="K107" s="15" t="str">
        <f>IF(C107&lt;&gt;"OK","",IF(B107="HEARING",'Case inputs'!D107,EDATE(J107,Assumptions!$B$13)))</f>
        <v/>
      </c>
      <c r="L107" s="15" t="str">
        <f>IF(C107&lt;&gt;"OK","",IF(G107="SCHEDULED",H107,EDATE(IF(B107="HEARING",H107,EDATE(K107,INT(D107))+ROUND(MOD(D107,1)*30.44,0)),Assumptions!$B$18)))</f>
        <v/>
      </c>
      <c r="M107" s="15" t="str">
        <f>IF(C107&lt;&gt;"OK","",EDATE(L107,Assumptions!$B$15))</f>
        <v/>
      </c>
      <c r="N107" s="17" t="str">
        <f>IF(C107&lt;&gt;"OK","",IF(B107="INITIAL",Assumptions!$B$21,0))</f>
        <v/>
      </c>
      <c r="O107" s="17" t="str">
        <f>IF(C107&lt;&gt;"OK","",IF(B107="INITIAL",(1-Assumptions!$B$21)*Assumptions!$B$24*Assumptions!$B$22,IF(B107="RECON",Assumptions!$B$22,0)))</f>
        <v/>
      </c>
      <c r="P107" s="17" t="str">
        <f>IF(C107&lt;&gt;"OK","",IF(B107="INITIAL",(1-Assumptions!$B$21)*Assumptions!$B$24*(1-Assumptions!$B$22)*Assumptions!$B$25,IF(B107="RECON",(1-Assumptions!$B$22)*Assumptions!$B$25,1)))</f>
        <v/>
      </c>
      <c r="Q107" s="17" t="str">
        <f>IF(C107&lt;&gt;"OK","",IF(B107="INITIAL",(1-Assumptions!$B$21)*(1-Assumptions!$B$24),0))</f>
        <v/>
      </c>
      <c r="R107" s="17" t="str">
        <f>IF(C107&lt;&gt;"OK","",IF(B107="INITIAL",(1-Assumptions!$B$21)*Assumptions!$B$24*(1-Assumptions!$B$22)*(1-Assumptions!$B$25),IF(B107="RECON",(1-Assumptions!$B$22)*(1-Assumptions!$B$25),0)))</f>
        <v/>
      </c>
      <c r="S107" s="17" t="str">
        <f>IF(C107&lt;&gt;"OK","",P107*Assumptions!$B$23)</f>
        <v/>
      </c>
      <c r="T107" s="17" t="str">
        <f>IF(C107&lt;&gt;"OK","",P107*(1-Assumptions!$B$23))</f>
        <v/>
      </c>
      <c r="U107" s="18" t="str">
        <f t="shared" si="7"/>
        <v/>
      </c>
      <c r="V107" s="15" t="str">
        <f>IF(C107&lt;&gt;"OK","",IF(B107="INITIAL",EDATE(I107,Assumptions!$B$14),""))</f>
        <v/>
      </c>
      <c r="W107" s="15" t="str">
        <f>IF(C107&lt;&gt;"OK","",IF(B107="HEARING","",EDATE(J107,Assumptions!$B$14)))</f>
        <v/>
      </c>
      <c r="X107" s="15" t="str">
        <f>IF(C107&lt;&gt;"OK","",EDATE(M107,Assumptions!$B$16))</f>
        <v/>
      </c>
    </row>
    <row r="108" spans="1:24" ht="22" customHeight="1">
      <c r="A108" s="11" t="str">
        <f>IF('Case inputs'!A108="","",'Case inputs'!A108)</f>
        <v/>
      </c>
      <c r="B108" s="11" t="str">
        <f>IF(A108="","",'Case inputs'!C108)</f>
        <v/>
      </c>
      <c r="C108" s="11" t="str">
        <f>IF('Case inputs'!I108="","",IF(Assumptions!$B$38&lt;&gt;"OK","ASSUMPTIONS INVALID",'Case inputs'!I108))</f>
        <v/>
      </c>
      <c r="D108" s="11" t="str">
        <f>IF(C108&lt;&gt;"OK","",VLOOKUP('Case inputs'!E108,Benchmarks!$A$6:$C$164,3,FALSE))</f>
        <v/>
      </c>
      <c r="E108" s="11" t="str">
        <f>IF(C108&lt;&gt;"OK","",Assumptions!$B$5-'Case inputs'!D108)</f>
        <v/>
      </c>
      <c r="F108" s="15" t="str">
        <f>IF(C108&lt;&gt;"OK","",IF(B108="INITIAL",'Case inputs'!D108+Assumptions!$B$10,IF(B108="RECON",'Case inputs'!D108+Assumptions!$B$11,EDATE('Case inputs'!D108,INT(D108))+ROUND(MOD(D108,1)*30.44,0))))</f>
        <v/>
      </c>
      <c r="G108" s="11" t="str">
        <f>IF(C108&lt;&gt;"OK","",IF(AND(B108="HEARING",'Case inputs'!F108&lt;&gt;"",'Case inputs'!F108&gt;=Assumptions!$B$5),"SCHEDULED",IF('Case inputs'!G108&lt;&gt;"","REVIEWED OVERRIDE",IF(F108&lt;Assumptions!$B$5,"OVERDUE: FUTURE WINDOW","BENCHMARK SCENARIO"))))</f>
        <v/>
      </c>
      <c r="H108" s="15" t="str">
        <f>IF(C108&lt;&gt;"OK","",IF(G108="SCHEDULED",'Case inputs'!F108,IF('Case inputs'!G108&lt;&gt;"",'Case inputs'!G108,IF(F108&lt;Assumptions!$B$5,EDATE(Assumptions!$B$5,Assumptions!$B$17),F108))))</f>
        <v/>
      </c>
      <c r="I108" s="16" t="str">
        <f t="shared" si="6"/>
        <v/>
      </c>
      <c r="J108" s="15" t="str">
        <f>IF(C108&lt;&gt;"OK","",IF(B108="INITIAL",EDATE(I108,Assumptions!$B$12)+Assumptions!$B$11,IF(B108="RECON",H108,"")))</f>
        <v/>
      </c>
      <c r="K108" s="15" t="str">
        <f>IF(C108&lt;&gt;"OK","",IF(B108="HEARING",'Case inputs'!D108,EDATE(J108,Assumptions!$B$13)))</f>
        <v/>
      </c>
      <c r="L108" s="15" t="str">
        <f>IF(C108&lt;&gt;"OK","",IF(G108="SCHEDULED",H108,EDATE(IF(B108="HEARING",H108,EDATE(K108,INT(D108))+ROUND(MOD(D108,1)*30.44,0)),Assumptions!$B$18)))</f>
        <v/>
      </c>
      <c r="M108" s="15" t="str">
        <f>IF(C108&lt;&gt;"OK","",EDATE(L108,Assumptions!$B$15))</f>
        <v/>
      </c>
      <c r="N108" s="17" t="str">
        <f>IF(C108&lt;&gt;"OK","",IF(B108="INITIAL",Assumptions!$B$21,0))</f>
        <v/>
      </c>
      <c r="O108" s="17" t="str">
        <f>IF(C108&lt;&gt;"OK","",IF(B108="INITIAL",(1-Assumptions!$B$21)*Assumptions!$B$24*Assumptions!$B$22,IF(B108="RECON",Assumptions!$B$22,0)))</f>
        <v/>
      </c>
      <c r="P108" s="17" t="str">
        <f>IF(C108&lt;&gt;"OK","",IF(B108="INITIAL",(1-Assumptions!$B$21)*Assumptions!$B$24*(1-Assumptions!$B$22)*Assumptions!$B$25,IF(B108="RECON",(1-Assumptions!$B$22)*Assumptions!$B$25,1)))</f>
        <v/>
      </c>
      <c r="Q108" s="17" t="str">
        <f>IF(C108&lt;&gt;"OK","",IF(B108="INITIAL",(1-Assumptions!$B$21)*(1-Assumptions!$B$24),0))</f>
        <v/>
      </c>
      <c r="R108" s="17" t="str">
        <f>IF(C108&lt;&gt;"OK","",IF(B108="INITIAL",(1-Assumptions!$B$21)*Assumptions!$B$24*(1-Assumptions!$B$22)*(1-Assumptions!$B$25),IF(B108="RECON",(1-Assumptions!$B$22)*(1-Assumptions!$B$25),0)))</f>
        <v/>
      </c>
      <c r="S108" s="17" t="str">
        <f>IF(C108&lt;&gt;"OK","",P108*Assumptions!$B$23)</f>
        <v/>
      </c>
      <c r="T108" s="17" t="str">
        <f>IF(C108&lt;&gt;"OK","",P108*(1-Assumptions!$B$23))</f>
        <v/>
      </c>
      <c r="U108" s="18" t="str">
        <f t="shared" si="7"/>
        <v/>
      </c>
      <c r="V108" s="15" t="str">
        <f>IF(C108&lt;&gt;"OK","",IF(B108="INITIAL",EDATE(I108,Assumptions!$B$14),""))</f>
        <v/>
      </c>
      <c r="W108" s="15" t="str">
        <f>IF(C108&lt;&gt;"OK","",IF(B108="HEARING","",EDATE(J108,Assumptions!$B$14)))</f>
        <v/>
      </c>
      <c r="X108" s="15" t="str">
        <f>IF(C108&lt;&gt;"OK","",EDATE(M108,Assumptions!$B$16))</f>
        <v/>
      </c>
    </row>
    <row r="109" spans="1:24" ht="22" customHeight="1">
      <c r="A109" s="11" t="str">
        <f>IF('Case inputs'!A109="","",'Case inputs'!A109)</f>
        <v/>
      </c>
      <c r="B109" s="11" t="str">
        <f>IF(A109="","",'Case inputs'!C109)</f>
        <v/>
      </c>
      <c r="C109" s="11" t="str">
        <f>IF('Case inputs'!I109="","",IF(Assumptions!$B$38&lt;&gt;"OK","ASSUMPTIONS INVALID",'Case inputs'!I109))</f>
        <v/>
      </c>
      <c r="D109" s="11" t="str">
        <f>IF(C109&lt;&gt;"OK","",VLOOKUP('Case inputs'!E109,Benchmarks!$A$6:$C$164,3,FALSE))</f>
        <v/>
      </c>
      <c r="E109" s="11" t="str">
        <f>IF(C109&lt;&gt;"OK","",Assumptions!$B$5-'Case inputs'!D109)</f>
        <v/>
      </c>
      <c r="F109" s="15" t="str">
        <f>IF(C109&lt;&gt;"OK","",IF(B109="INITIAL",'Case inputs'!D109+Assumptions!$B$10,IF(B109="RECON",'Case inputs'!D109+Assumptions!$B$11,EDATE('Case inputs'!D109,INT(D109))+ROUND(MOD(D109,1)*30.44,0))))</f>
        <v/>
      </c>
      <c r="G109" s="11" t="str">
        <f>IF(C109&lt;&gt;"OK","",IF(AND(B109="HEARING",'Case inputs'!F109&lt;&gt;"",'Case inputs'!F109&gt;=Assumptions!$B$5),"SCHEDULED",IF('Case inputs'!G109&lt;&gt;"","REVIEWED OVERRIDE",IF(F109&lt;Assumptions!$B$5,"OVERDUE: FUTURE WINDOW","BENCHMARK SCENARIO"))))</f>
        <v/>
      </c>
      <c r="H109" s="15" t="str">
        <f>IF(C109&lt;&gt;"OK","",IF(G109="SCHEDULED",'Case inputs'!F109,IF('Case inputs'!G109&lt;&gt;"",'Case inputs'!G109,IF(F109&lt;Assumptions!$B$5,EDATE(Assumptions!$B$5,Assumptions!$B$17),F109))))</f>
        <v/>
      </c>
      <c r="I109" s="16" t="str">
        <f t="shared" si="6"/>
        <v/>
      </c>
      <c r="J109" s="15" t="str">
        <f>IF(C109&lt;&gt;"OK","",IF(B109="INITIAL",EDATE(I109,Assumptions!$B$12)+Assumptions!$B$11,IF(B109="RECON",H109,"")))</f>
        <v/>
      </c>
      <c r="K109" s="15" t="str">
        <f>IF(C109&lt;&gt;"OK","",IF(B109="HEARING",'Case inputs'!D109,EDATE(J109,Assumptions!$B$13)))</f>
        <v/>
      </c>
      <c r="L109" s="15" t="str">
        <f>IF(C109&lt;&gt;"OK","",IF(G109="SCHEDULED",H109,EDATE(IF(B109="HEARING",H109,EDATE(K109,INT(D109))+ROUND(MOD(D109,1)*30.44,0)),Assumptions!$B$18)))</f>
        <v/>
      </c>
      <c r="M109" s="15" t="str">
        <f>IF(C109&lt;&gt;"OK","",EDATE(L109,Assumptions!$B$15))</f>
        <v/>
      </c>
      <c r="N109" s="17" t="str">
        <f>IF(C109&lt;&gt;"OK","",IF(B109="INITIAL",Assumptions!$B$21,0))</f>
        <v/>
      </c>
      <c r="O109" s="17" t="str">
        <f>IF(C109&lt;&gt;"OK","",IF(B109="INITIAL",(1-Assumptions!$B$21)*Assumptions!$B$24*Assumptions!$B$22,IF(B109="RECON",Assumptions!$B$22,0)))</f>
        <v/>
      </c>
      <c r="P109" s="17" t="str">
        <f>IF(C109&lt;&gt;"OK","",IF(B109="INITIAL",(1-Assumptions!$B$21)*Assumptions!$B$24*(1-Assumptions!$B$22)*Assumptions!$B$25,IF(B109="RECON",(1-Assumptions!$B$22)*Assumptions!$B$25,1)))</f>
        <v/>
      </c>
      <c r="Q109" s="17" t="str">
        <f>IF(C109&lt;&gt;"OK","",IF(B109="INITIAL",(1-Assumptions!$B$21)*(1-Assumptions!$B$24),0))</f>
        <v/>
      </c>
      <c r="R109" s="17" t="str">
        <f>IF(C109&lt;&gt;"OK","",IF(B109="INITIAL",(1-Assumptions!$B$21)*Assumptions!$B$24*(1-Assumptions!$B$22)*(1-Assumptions!$B$25),IF(B109="RECON",(1-Assumptions!$B$22)*(1-Assumptions!$B$25),0)))</f>
        <v/>
      </c>
      <c r="S109" s="17" t="str">
        <f>IF(C109&lt;&gt;"OK","",P109*Assumptions!$B$23)</f>
        <v/>
      </c>
      <c r="T109" s="17" t="str">
        <f>IF(C109&lt;&gt;"OK","",P109*(1-Assumptions!$B$23))</f>
        <v/>
      </c>
      <c r="U109" s="18" t="str">
        <f t="shared" si="7"/>
        <v/>
      </c>
      <c r="V109" s="15" t="str">
        <f>IF(C109&lt;&gt;"OK","",IF(B109="INITIAL",EDATE(I109,Assumptions!$B$14),""))</f>
        <v/>
      </c>
      <c r="W109" s="15" t="str">
        <f>IF(C109&lt;&gt;"OK","",IF(B109="HEARING","",EDATE(J109,Assumptions!$B$14)))</f>
        <v/>
      </c>
      <c r="X109" s="15" t="str">
        <f>IF(C109&lt;&gt;"OK","",EDATE(M109,Assumptions!$B$16))</f>
        <v/>
      </c>
    </row>
    <row r="110" spans="1:24" ht="22" customHeight="1">
      <c r="A110" s="11" t="str">
        <f>IF('Case inputs'!A110="","",'Case inputs'!A110)</f>
        <v/>
      </c>
      <c r="B110" s="11" t="str">
        <f>IF(A110="","",'Case inputs'!C110)</f>
        <v/>
      </c>
      <c r="C110" s="11" t="str">
        <f>IF('Case inputs'!I110="","",IF(Assumptions!$B$38&lt;&gt;"OK","ASSUMPTIONS INVALID",'Case inputs'!I110))</f>
        <v/>
      </c>
      <c r="D110" s="11" t="str">
        <f>IF(C110&lt;&gt;"OK","",VLOOKUP('Case inputs'!E110,Benchmarks!$A$6:$C$164,3,FALSE))</f>
        <v/>
      </c>
      <c r="E110" s="11" t="str">
        <f>IF(C110&lt;&gt;"OK","",Assumptions!$B$5-'Case inputs'!D110)</f>
        <v/>
      </c>
      <c r="F110" s="15" t="str">
        <f>IF(C110&lt;&gt;"OK","",IF(B110="INITIAL",'Case inputs'!D110+Assumptions!$B$10,IF(B110="RECON",'Case inputs'!D110+Assumptions!$B$11,EDATE('Case inputs'!D110,INT(D110))+ROUND(MOD(D110,1)*30.44,0))))</f>
        <v/>
      </c>
      <c r="G110" s="11" t="str">
        <f>IF(C110&lt;&gt;"OK","",IF(AND(B110="HEARING",'Case inputs'!F110&lt;&gt;"",'Case inputs'!F110&gt;=Assumptions!$B$5),"SCHEDULED",IF('Case inputs'!G110&lt;&gt;"","REVIEWED OVERRIDE",IF(F110&lt;Assumptions!$B$5,"OVERDUE: FUTURE WINDOW","BENCHMARK SCENARIO"))))</f>
        <v/>
      </c>
      <c r="H110" s="15" t="str">
        <f>IF(C110&lt;&gt;"OK","",IF(G110="SCHEDULED",'Case inputs'!F110,IF('Case inputs'!G110&lt;&gt;"",'Case inputs'!G110,IF(F110&lt;Assumptions!$B$5,EDATE(Assumptions!$B$5,Assumptions!$B$17),F110))))</f>
        <v/>
      </c>
      <c r="I110" s="16" t="str">
        <f t="shared" si="6"/>
        <v/>
      </c>
      <c r="J110" s="15" t="str">
        <f>IF(C110&lt;&gt;"OK","",IF(B110="INITIAL",EDATE(I110,Assumptions!$B$12)+Assumptions!$B$11,IF(B110="RECON",H110,"")))</f>
        <v/>
      </c>
      <c r="K110" s="15" t="str">
        <f>IF(C110&lt;&gt;"OK","",IF(B110="HEARING",'Case inputs'!D110,EDATE(J110,Assumptions!$B$13)))</f>
        <v/>
      </c>
      <c r="L110" s="15" t="str">
        <f>IF(C110&lt;&gt;"OK","",IF(G110="SCHEDULED",H110,EDATE(IF(B110="HEARING",H110,EDATE(K110,INT(D110))+ROUND(MOD(D110,1)*30.44,0)),Assumptions!$B$18)))</f>
        <v/>
      </c>
      <c r="M110" s="15" t="str">
        <f>IF(C110&lt;&gt;"OK","",EDATE(L110,Assumptions!$B$15))</f>
        <v/>
      </c>
      <c r="N110" s="17" t="str">
        <f>IF(C110&lt;&gt;"OK","",IF(B110="INITIAL",Assumptions!$B$21,0))</f>
        <v/>
      </c>
      <c r="O110" s="17" t="str">
        <f>IF(C110&lt;&gt;"OK","",IF(B110="INITIAL",(1-Assumptions!$B$21)*Assumptions!$B$24*Assumptions!$B$22,IF(B110="RECON",Assumptions!$B$22,0)))</f>
        <v/>
      </c>
      <c r="P110" s="17" t="str">
        <f>IF(C110&lt;&gt;"OK","",IF(B110="INITIAL",(1-Assumptions!$B$21)*Assumptions!$B$24*(1-Assumptions!$B$22)*Assumptions!$B$25,IF(B110="RECON",(1-Assumptions!$B$22)*Assumptions!$B$25,1)))</f>
        <v/>
      </c>
      <c r="Q110" s="17" t="str">
        <f>IF(C110&lt;&gt;"OK","",IF(B110="INITIAL",(1-Assumptions!$B$21)*(1-Assumptions!$B$24),0))</f>
        <v/>
      </c>
      <c r="R110" s="17" t="str">
        <f>IF(C110&lt;&gt;"OK","",IF(B110="INITIAL",(1-Assumptions!$B$21)*Assumptions!$B$24*(1-Assumptions!$B$22)*(1-Assumptions!$B$25),IF(B110="RECON",(1-Assumptions!$B$22)*(1-Assumptions!$B$25),0)))</f>
        <v/>
      </c>
      <c r="S110" s="17" t="str">
        <f>IF(C110&lt;&gt;"OK","",P110*Assumptions!$B$23)</f>
        <v/>
      </c>
      <c r="T110" s="17" t="str">
        <f>IF(C110&lt;&gt;"OK","",P110*(1-Assumptions!$B$23))</f>
        <v/>
      </c>
      <c r="U110" s="18" t="str">
        <f t="shared" si="7"/>
        <v/>
      </c>
      <c r="V110" s="15" t="str">
        <f>IF(C110&lt;&gt;"OK","",IF(B110="INITIAL",EDATE(I110,Assumptions!$B$14),""))</f>
        <v/>
      </c>
      <c r="W110" s="15" t="str">
        <f>IF(C110&lt;&gt;"OK","",IF(B110="HEARING","",EDATE(J110,Assumptions!$B$14)))</f>
        <v/>
      </c>
      <c r="X110" s="15" t="str">
        <f>IF(C110&lt;&gt;"OK","",EDATE(M110,Assumptions!$B$16))</f>
        <v/>
      </c>
    </row>
    <row r="111" spans="1:24" ht="22" customHeight="1">
      <c r="A111" s="11" t="str">
        <f>IF('Case inputs'!A111="","",'Case inputs'!A111)</f>
        <v/>
      </c>
      <c r="B111" s="11" t="str">
        <f>IF(A111="","",'Case inputs'!C111)</f>
        <v/>
      </c>
      <c r="C111" s="11" t="str">
        <f>IF('Case inputs'!I111="","",IF(Assumptions!$B$38&lt;&gt;"OK","ASSUMPTIONS INVALID",'Case inputs'!I111))</f>
        <v/>
      </c>
      <c r="D111" s="11" t="str">
        <f>IF(C111&lt;&gt;"OK","",VLOOKUP('Case inputs'!E111,Benchmarks!$A$6:$C$164,3,FALSE))</f>
        <v/>
      </c>
      <c r="E111" s="11" t="str">
        <f>IF(C111&lt;&gt;"OK","",Assumptions!$B$5-'Case inputs'!D111)</f>
        <v/>
      </c>
      <c r="F111" s="15" t="str">
        <f>IF(C111&lt;&gt;"OK","",IF(B111="INITIAL",'Case inputs'!D111+Assumptions!$B$10,IF(B111="RECON",'Case inputs'!D111+Assumptions!$B$11,EDATE('Case inputs'!D111,INT(D111))+ROUND(MOD(D111,1)*30.44,0))))</f>
        <v/>
      </c>
      <c r="G111" s="11" t="str">
        <f>IF(C111&lt;&gt;"OK","",IF(AND(B111="HEARING",'Case inputs'!F111&lt;&gt;"",'Case inputs'!F111&gt;=Assumptions!$B$5),"SCHEDULED",IF('Case inputs'!G111&lt;&gt;"","REVIEWED OVERRIDE",IF(F111&lt;Assumptions!$B$5,"OVERDUE: FUTURE WINDOW","BENCHMARK SCENARIO"))))</f>
        <v/>
      </c>
      <c r="H111" s="15" t="str">
        <f>IF(C111&lt;&gt;"OK","",IF(G111="SCHEDULED",'Case inputs'!F111,IF('Case inputs'!G111&lt;&gt;"",'Case inputs'!G111,IF(F111&lt;Assumptions!$B$5,EDATE(Assumptions!$B$5,Assumptions!$B$17),F111))))</f>
        <v/>
      </c>
      <c r="I111" s="16" t="str">
        <f t="shared" si="6"/>
        <v/>
      </c>
      <c r="J111" s="15" t="str">
        <f>IF(C111&lt;&gt;"OK","",IF(B111="INITIAL",EDATE(I111,Assumptions!$B$12)+Assumptions!$B$11,IF(B111="RECON",H111,"")))</f>
        <v/>
      </c>
      <c r="K111" s="15" t="str">
        <f>IF(C111&lt;&gt;"OK","",IF(B111="HEARING",'Case inputs'!D111,EDATE(J111,Assumptions!$B$13)))</f>
        <v/>
      </c>
      <c r="L111" s="15" t="str">
        <f>IF(C111&lt;&gt;"OK","",IF(G111="SCHEDULED",H111,EDATE(IF(B111="HEARING",H111,EDATE(K111,INT(D111))+ROUND(MOD(D111,1)*30.44,0)),Assumptions!$B$18)))</f>
        <v/>
      </c>
      <c r="M111" s="15" t="str">
        <f>IF(C111&lt;&gt;"OK","",EDATE(L111,Assumptions!$B$15))</f>
        <v/>
      </c>
      <c r="N111" s="17" t="str">
        <f>IF(C111&lt;&gt;"OK","",IF(B111="INITIAL",Assumptions!$B$21,0))</f>
        <v/>
      </c>
      <c r="O111" s="17" t="str">
        <f>IF(C111&lt;&gt;"OK","",IF(B111="INITIAL",(1-Assumptions!$B$21)*Assumptions!$B$24*Assumptions!$B$22,IF(B111="RECON",Assumptions!$B$22,0)))</f>
        <v/>
      </c>
      <c r="P111" s="17" t="str">
        <f>IF(C111&lt;&gt;"OK","",IF(B111="INITIAL",(1-Assumptions!$B$21)*Assumptions!$B$24*(1-Assumptions!$B$22)*Assumptions!$B$25,IF(B111="RECON",(1-Assumptions!$B$22)*Assumptions!$B$25,1)))</f>
        <v/>
      </c>
      <c r="Q111" s="17" t="str">
        <f>IF(C111&lt;&gt;"OK","",IF(B111="INITIAL",(1-Assumptions!$B$21)*(1-Assumptions!$B$24),0))</f>
        <v/>
      </c>
      <c r="R111" s="17" t="str">
        <f>IF(C111&lt;&gt;"OK","",IF(B111="INITIAL",(1-Assumptions!$B$21)*Assumptions!$B$24*(1-Assumptions!$B$22)*(1-Assumptions!$B$25),IF(B111="RECON",(1-Assumptions!$B$22)*(1-Assumptions!$B$25),0)))</f>
        <v/>
      </c>
      <c r="S111" s="17" t="str">
        <f>IF(C111&lt;&gt;"OK","",P111*Assumptions!$B$23)</f>
        <v/>
      </c>
      <c r="T111" s="17" t="str">
        <f>IF(C111&lt;&gt;"OK","",P111*(1-Assumptions!$B$23))</f>
        <v/>
      </c>
      <c r="U111" s="18" t="str">
        <f t="shared" si="7"/>
        <v/>
      </c>
      <c r="V111" s="15" t="str">
        <f>IF(C111&lt;&gt;"OK","",IF(B111="INITIAL",EDATE(I111,Assumptions!$B$14),""))</f>
        <v/>
      </c>
      <c r="W111" s="15" t="str">
        <f>IF(C111&lt;&gt;"OK","",IF(B111="HEARING","",EDATE(J111,Assumptions!$B$14)))</f>
        <v/>
      </c>
      <c r="X111" s="15" t="str">
        <f>IF(C111&lt;&gt;"OK","",EDATE(M111,Assumptions!$B$16))</f>
        <v/>
      </c>
    </row>
    <row r="112" spans="1:24" ht="22" customHeight="1">
      <c r="A112" s="11" t="str">
        <f>IF('Case inputs'!A112="","",'Case inputs'!A112)</f>
        <v/>
      </c>
      <c r="B112" s="11" t="str">
        <f>IF(A112="","",'Case inputs'!C112)</f>
        <v/>
      </c>
      <c r="C112" s="11" t="str">
        <f>IF('Case inputs'!I112="","",IF(Assumptions!$B$38&lt;&gt;"OK","ASSUMPTIONS INVALID",'Case inputs'!I112))</f>
        <v/>
      </c>
      <c r="D112" s="11" t="str">
        <f>IF(C112&lt;&gt;"OK","",VLOOKUP('Case inputs'!E112,Benchmarks!$A$6:$C$164,3,FALSE))</f>
        <v/>
      </c>
      <c r="E112" s="11" t="str">
        <f>IF(C112&lt;&gt;"OK","",Assumptions!$B$5-'Case inputs'!D112)</f>
        <v/>
      </c>
      <c r="F112" s="15" t="str">
        <f>IF(C112&lt;&gt;"OK","",IF(B112="INITIAL",'Case inputs'!D112+Assumptions!$B$10,IF(B112="RECON",'Case inputs'!D112+Assumptions!$B$11,EDATE('Case inputs'!D112,INT(D112))+ROUND(MOD(D112,1)*30.44,0))))</f>
        <v/>
      </c>
      <c r="G112" s="11" t="str">
        <f>IF(C112&lt;&gt;"OK","",IF(AND(B112="HEARING",'Case inputs'!F112&lt;&gt;"",'Case inputs'!F112&gt;=Assumptions!$B$5),"SCHEDULED",IF('Case inputs'!G112&lt;&gt;"","REVIEWED OVERRIDE",IF(F112&lt;Assumptions!$B$5,"OVERDUE: FUTURE WINDOW","BENCHMARK SCENARIO"))))</f>
        <v/>
      </c>
      <c r="H112" s="15" t="str">
        <f>IF(C112&lt;&gt;"OK","",IF(G112="SCHEDULED",'Case inputs'!F112,IF('Case inputs'!G112&lt;&gt;"",'Case inputs'!G112,IF(F112&lt;Assumptions!$B$5,EDATE(Assumptions!$B$5,Assumptions!$B$17),F112))))</f>
        <v/>
      </c>
      <c r="I112" s="16" t="str">
        <f t="shared" si="6"/>
        <v/>
      </c>
      <c r="J112" s="15" t="str">
        <f>IF(C112&lt;&gt;"OK","",IF(B112="INITIAL",EDATE(I112,Assumptions!$B$12)+Assumptions!$B$11,IF(B112="RECON",H112,"")))</f>
        <v/>
      </c>
      <c r="K112" s="15" t="str">
        <f>IF(C112&lt;&gt;"OK","",IF(B112="HEARING",'Case inputs'!D112,EDATE(J112,Assumptions!$B$13)))</f>
        <v/>
      </c>
      <c r="L112" s="15" t="str">
        <f>IF(C112&lt;&gt;"OK","",IF(G112="SCHEDULED",H112,EDATE(IF(B112="HEARING",H112,EDATE(K112,INT(D112))+ROUND(MOD(D112,1)*30.44,0)),Assumptions!$B$18)))</f>
        <v/>
      </c>
      <c r="M112" s="15" t="str">
        <f>IF(C112&lt;&gt;"OK","",EDATE(L112,Assumptions!$B$15))</f>
        <v/>
      </c>
      <c r="N112" s="17" t="str">
        <f>IF(C112&lt;&gt;"OK","",IF(B112="INITIAL",Assumptions!$B$21,0))</f>
        <v/>
      </c>
      <c r="O112" s="17" t="str">
        <f>IF(C112&lt;&gt;"OK","",IF(B112="INITIAL",(1-Assumptions!$B$21)*Assumptions!$B$24*Assumptions!$B$22,IF(B112="RECON",Assumptions!$B$22,0)))</f>
        <v/>
      </c>
      <c r="P112" s="17" t="str">
        <f>IF(C112&lt;&gt;"OK","",IF(B112="INITIAL",(1-Assumptions!$B$21)*Assumptions!$B$24*(1-Assumptions!$B$22)*Assumptions!$B$25,IF(B112="RECON",(1-Assumptions!$B$22)*Assumptions!$B$25,1)))</f>
        <v/>
      </c>
      <c r="Q112" s="17" t="str">
        <f>IF(C112&lt;&gt;"OK","",IF(B112="INITIAL",(1-Assumptions!$B$21)*(1-Assumptions!$B$24),0))</f>
        <v/>
      </c>
      <c r="R112" s="17" t="str">
        <f>IF(C112&lt;&gt;"OK","",IF(B112="INITIAL",(1-Assumptions!$B$21)*Assumptions!$B$24*(1-Assumptions!$B$22)*(1-Assumptions!$B$25),IF(B112="RECON",(1-Assumptions!$B$22)*(1-Assumptions!$B$25),0)))</f>
        <v/>
      </c>
      <c r="S112" s="17" t="str">
        <f>IF(C112&lt;&gt;"OK","",P112*Assumptions!$B$23)</f>
        <v/>
      </c>
      <c r="T112" s="17" t="str">
        <f>IF(C112&lt;&gt;"OK","",P112*(1-Assumptions!$B$23))</f>
        <v/>
      </c>
      <c r="U112" s="18" t="str">
        <f t="shared" si="7"/>
        <v/>
      </c>
      <c r="V112" s="15" t="str">
        <f>IF(C112&lt;&gt;"OK","",IF(B112="INITIAL",EDATE(I112,Assumptions!$B$14),""))</f>
        <v/>
      </c>
      <c r="W112" s="15" t="str">
        <f>IF(C112&lt;&gt;"OK","",IF(B112="HEARING","",EDATE(J112,Assumptions!$B$14)))</f>
        <v/>
      </c>
      <c r="X112" s="15" t="str">
        <f>IF(C112&lt;&gt;"OK","",EDATE(M112,Assumptions!$B$16))</f>
        <v/>
      </c>
    </row>
    <row r="113" spans="1:24" ht="22" customHeight="1">
      <c r="A113" s="11" t="str">
        <f>IF('Case inputs'!A113="","",'Case inputs'!A113)</f>
        <v/>
      </c>
      <c r="B113" s="11" t="str">
        <f>IF(A113="","",'Case inputs'!C113)</f>
        <v/>
      </c>
      <c r="C113" s="11" t="str">
        <f>IF('Case inputs'!I113="","",IF(Assumptions!$B$38&lt;&gt;"OK","ASSUMPTIONS INVALID",'Case inputs'!I113))</f>
        <v/>
      </c>
      <c r="D113" s="11" t="str">
        <f>IF(C113&lt;&gt;"OK","",VLOOKUP('Case inputs'!E113,Benchmarks!$A$6:$C$164,3,FALSE))</f>
        <v/>
      </c>
      <c r="E113" s="11" t="str">
        <f>IF(C113&lt;&gt;"OK","",Assumptions!$B$5-'Case inputs'!D113)</f>
        <v/>
      </c>
      <c r="F113" s="15" t="str">
        <f>IF(C113&lt;&gt;"OK","",IF(B113="INITIAL",'Case inputs'!D113+Assumptions!$B$10,IF(B113="RECON",'Case inputs'!D113+Assumptions!$B$11,EDATE('Case inputs'!D113,INT(D113))+ROUND(MOD(D113,1)*30.44,0))))</f>
        <v/>
      </c>
      <c r="G113" s="11" t="str">
        <f>IF(C113&lt;&gt;"OK","",IF(AND(B113="HEARING",'Case inputs'!F113&lt;&gt;"",'Case inputs'!F113&gt;=Assumptions!$B$5),"SCHEDULED",IF('Case inputs'!G113&lt;&gt;"","REVIEWED OVERRIDE",IF(F113&lt;Assumptions!$B$5,"OVERDUE: FUTURE WINDOW","BENCHMARK SCENARIO"))))</f>
        <v/>
      </c>
      <c r="H113" s="15" t="str">
        <f>IF(C113&lt;&gt;"OK","",IF(G113="SCHEDULED",'Case inputs'!F113,IF('Case inputs'!G113&lt;&gt;"",'Case inputs'!G113,IF(F113&lt;Assumptions!$B$5,EDATE(Assumptions!$B$5,Assumptions!$B$17),F113))))</f>
        <v/>
      </c>
      <c r="I113" s="16" t="str">
        <f t="shared" si="6"/>
        <v/>
      </c>
      <c r="J113" s="15" t="str">
        <f>IF(C113&lt;&gt;"OK","",IF(B113="INITIAL",EDATE(I113,Assumptions!$B$12)+Assumptions!$B$11,IF(B113="RECON",H113,"")))</f>
        <v/>
      </c>
      <c r="K113" s="15" t="str">
        <f>IF(C113&lt;&gt;"OK","",IF(B113="HEARING",'Case inputs'!D113,EDATE(J113,Assumptions!$B$13)))</f>
        <v/>
      </c>
      <c r="L113" s="15" t="str">
        <f>IF(C113&lt;&gt;"OK","",IF(G113="SCHEDULED",H113,EDATE(IF(B113="HEARING",H113,EDATE(K113,INT(D113))+ROUND(MOD(D113,1)*30.44,0)),Assumptions!$B$18)))</f>
        <v/>
      </c>
      <c r="M113" s="15" t="str">
        <f>IF(C113&lt;&gt;"OK","",EDATE(L113,Assumptions!$B$15))</f>
        <v/>
      </c>
      <c r="N113" s="17" t="str">
        <f>IF(C113&lt;&gt;"OK","",IF(B113="INITIAL",Assumptions!$B$21,0))</f>
        <v/>
      </c>
      <c r="O113" s="17" t="str">
        <f>IF(C113&lt;&gt;"OK","",IF(B113="INITIAL",(1-Assumptions!$B$21)*Assumptions!$B$24*Assumptions!$B$22,IF(B113="RECON",Assumptions!$B$22,0)))</f>
        <v/>
      </c>
      <c r="P113" s="17" t="str">
        <f>IF(C113&lt;&gt;"OK","",IF(B113="INITIAL",(1-Assumptions!$B$21)*Assumptions!$B$24*(1-Assumptions!$B$22)*Assumptions!$B$25,IF(B113="RECON",(1-Assumptions!$B$22)*Assumptions!$B$25,1)))</f>
        <v/>
      </c>
      <c r="Q113" s="17" t="str">
        <f>IF(C113&lt;&gt;"OK","",IF(B113="INITIAL",(1-Assumptions!$B$21)*(1-Assumptions!$B$24),0))</f>
        <v/>
      </c>
      <c r="R113" s="17" t="str">
        <f>IF(C113&lt;&gt;"OK","",IF(B113="INITIAL",(1-Assumptions!$B$21)*Assumptions!$B$24*(1-Assumptions!$B$22)*(1-Assumptions!$B$25),IF(B113="RECON",(1-Assumptions!$B$22)*(1-Assumptions!$B$25),0)))</f>
        <v/>
      </c>
      <c r="S113" s="17" t="str">
        <f>IF(C113&lt;&gt;"OK","",P113*Assumptions!$B$23)</f>
        <v/>
      </c>
      <c r="T113" s="17" t="str">
        <f>IF(C113&lt;&gt;"OK","",P113*(1-Assumptions!$B$23))</f>
        <v/>
      </c>
      <c r="U113" s="18" t="str">
        <f t="shared" si="7"/>
        <v/>
      </c>
      <c r="V113" s="15" t="str">
        <f>IF(C113&lt;&gt;"OK","",IF(B113="INITIAL",EDATE(I113,Assumptions!$B$14),""))</f>
        <v/>
      </c>
      <c r="W113" s="15" t="str">
        <f>IF(C113&lt;&gt;"OK","",IF(B113="HEARING","",EDATE(J113,Assumptions!$B$14)))</f>
        <v/>
      </c>
      <c r="X113" s="15" t="str">
        <f>IF(C113&lt;&gt;"OK","",EDATE(M113,Assumptions!$B$16))</f>
        <v/>
      </c>
    </row>
    <row r="114" spans="1:24" ht="22" customHeight="1">
      <c r="A114" s="11" t="str">
        <f>IF('Case inputs'!A114="","",'Case inputs'!A114)</f>
        <v/>
      </c>
      <c r="B114" s="11" t="str">
        <f>IF(A114="","",'Case inputs'!C114)</f>
        <v/>
      </c>
      <c r="C114" s="11" t="str">
        <f>IF('Case inputs'!I114="","",IF(Assumptions!$B$38&lt;&gt;"OK","ASSUMPTIONS INVALID",'Case inputs'!I114))</f>
        <v/>
      </c>
      <c r="D114" s="11" t="str">
        <f>IF(C114&lt;&gt;"OK","",VLOOKUP('Case inputs'!E114,Benchmarks!$A$6:$C$164,3,FALSE))</f>
        <v/>
      </c>
      <c r="E114" s="11" t="str">
        <f>IF(C114&lt;&gt;"OK","",Assumptions!$B$5-'Case inputs'!D114)</f>
        <v/>
      </c>
      <c r="F114" s="15" t="str">
        <f>IF(C114&lt;&gt;"OK","",IF(B114="INITIAL",'Case inputs'!D114+Assumptions!$B$10,IF(B114="RECON",'Case inputs'!D114+Assumptions!$B$11,EDATE('Case inputs'!D114,INT(D114))+ROUND(MOD(D114,1)*30.44,0))))</f>
        <v/>
      </c>
      <c r="G114" s="11" t="str">
        <f>IF(C114&lt;&gt;"OK","",IF(AND(B114="HEARING",'Case inputs'!F114&lt;&gt;"",'Case inputs'!F114&gt;=Assumptions!$B$5),"SCHEDULED",IF('Case inputs'!G114&lt;&gt;"","REVIEWED OVERRIDE",IF(F114&lt;Assumptions!$B$5,"OVERDUE: FUTURE WINDOW","BENCHMARK SCENARIO"))))</f>
        <v/>
      </c>
      <c r="H114" s="15" t="str">
        <f>IF(C114&lt;&gt;"OK","",IF(G114="SCHEDULED",'Case inputs'!F114,IF('Case inputs'!G114&lt;&gt;"",'Case inputs'!G114,IF(F114&lt;Assumptions!$B$5,EDATE(Assumptions!$B$5,Assumptions!$B$17),F114))))</f>
        <v/>
      </c>
      <c r="I114" s="16" t="str">
        <f t="shared" si="6"/>
        <v/>
      </c>
      <c r="J114" s="15" t="str">
        <f>IF(C114&lt;&gt;"OK","",IF(B114="INITIAL",EDATE(I114,Assumptions!$B$12)+Assumptions!$B$11,IF(B114="RECON",H114,"")))</f>
        <v/>
      </c>
      <c r="K114" s="15" t="str">
        <f>IF(C114&lt;&gt;"OK","",IF(B114="HEARING",'Case inputs'!D114,EDATE(J114,Assumptions!$B$13)))</f>
        <v/>
      </c>
      <c r="L114" s="15" t="str">
        <f>IF(C114&lt;&gt;"OK","",IF(G114="SCHEDULED",H114,EDATE(IF(B114="HEARING",H114,EDATE(K114,INT(D114))+ROUND(MOD(D114,1)*30.44,0)),Assumptions!$B$18)))</f>
        <v/>
      </c>
      <c r="M114" s="15" t="str">
        <f>IF(C114&lt;&gt;"OK","",EDATE(L114,Assumptions!$B$15))</f>
        <v/>
      </c>
      <c r="N114" s="17" t="str">
        <f>IF(C114&lt;&gt;"OK","",IF(B114="INITIAL",Assumptions!$B$21,0))</f>
        <v/>
      </c>
      <c r="O114" s="17" t="str">
        <f>IF(C114&lt;&gt;"OK","",IF(B114="INITIAL",(1-Assumptions!$B$21)*Assumptions!$B$24*Assumptions!$B$22,IF(B114="RECON",Assumptions!$B$22,0)))</f>
        <v/>
      </c>
      <c r="P114" s="17" t="str">
        <f>IF(C114&lt;&gt;"OK","",IF(B114="INITIAL",(1-Assumptions!$B$21)*Assumptions!$B$24*(1-Assumptions!$B$22)*Assumptions!$B$25,IF(B114="RECON",(1-Assumptions!$B$22)*Assumptions!$B$25,1)))</f>
        <v/>
      </c>
      <c r="Q114" s="17" t="str">
        <f>IF(C114&lt;&gt;"OK","",IF(B114="INITIAL",(1-Assumptions!$B$21)*(1-Assumptions!$B$24),0))</f>
        <v/>
      </c>
      <c r="R114" s="17" t="str">
        <f>IF(C114&lt;&gt;"OK","",IF(B114="INITIAL",(1-Assumptions!$B$21)*Assumptions!$B$24*(1-Assumptions!$B$22)*(1-Assumptions!$B$25),IF(B114="RECON",(1-Assumptions!$B$22)*(1-Assumptions!$B$25),0)))</f>
        <v/>
      </c>
      <c r="S114" s="17" t="str">
        <f>IF(C114&lt;&gt;"OK","",P114*Assumptions!$B$23)</f>
        <v/>
      </c>
      <c r="T114" s="17" t="str">
        <f>IF(C114&lt;&gt;"OK","",P114*(1-Assumptions!$B$23))</f>
        <v/>
      </c>
      <c r="U114" s="18" t="str">
        <f t="shared" si="7"/>
        <v/>
      </c>
      <c r="V114" s="15" t="str">
        <f>IF(C114&lt;&gt;"OK","",IF(B114="INITIAL",EDATE(I114,Assumptions!$B$14),""))</f>
        <v/>
      </c>
      <c r="W114" s="15" t="str">
        <f>IF(C114&lt;&gt;"OK","",IF(B114="HEARING","",EDATE(J114,Assumptions!$B$14)))</f>
        <v/>
      </c>
      <c r="X114" s="15" t="str">
        <f>IF(C114&lt;&gt;"OK","",EDATE(M114,Assumptions!$B$16))</f>
        <v/>
      </c>
    </row>
    <row r="115" spans="1:24" ht="22" customHeight="1">
      <c r="A115" s="11" t="str">
        <f>IF('Case inputs'!A115="","",'Case inputs'!A115)</f>
        <v/>
      </c>
      <c r="B115" s="11" t="str">
        <f>IF(A115="","",'Case inputs'!C115)</f>
        <v/>
      </c>
      <c r="C115" s="11" t="str">
        <f>IF('Case inputs'!I115="","",IF(Assumptions!$B$38&lt;&gt;"OK","ASSUMPTIONS INVALID",'Case inputs'!I115))</f>
        <v/>
      </c>
      <c r="D115" s="11" t="str">
        <f>IF(C115&lt;&gt;"OK","",VLOOKUP('Case inputs'!E115,Benchmarks!$A$6:$C$164,3,FALSE))</f>
        <v/>
      </c>
      <c r="E115" s="11" t="str">
        <f>IF(C115&lt;&gt;"OK","",Assumptions!$B$5-'Case inputs'!D115)</f>
        <v/>
      </c>
      <c r="F115" s="15" t="str">
        <f>IF(C115&lt;&gt;"OK","",IF(B115="INITIAL",'Case inputs'!D115+Assumptions!$B$10,IF(B115="RECON",'Case inputs'!D115+Assumptions!$B$11,EDATE('Case inputs'!D115,INT(D115))+ROUND(MOD(D115,1)*30.44,0))))</f>
        <v/>
      </c>
      <c r="G115" s="11" t="str">
        <f>IF(C115&lt;&gt;"OK","",IF(AND(B115="HEARING",'Case inputs'!F115&lt;&gt;"",'Case inputs'!F115&gt;=Assumptions!$B$5),"SCHEDULED",IF('Case inputs'!G115&lt;&gt;"","REVIEWED OVERRIDE",IF(F115&lt;Assumptions!$B$5,"OVERDUE: FUTURE WINDOW","BENCHMARK SCENARIO"))))</f>
        <v/>
      </c>
      <c r="H115" s="15" t="str">
        <f>IF(C115&lt;&gt;"OK","",IF(G115="SCHEDULED",'Case inputs'!F115,IF('Case inputs'!G115&lt;&gt;"",'Case inputs'!G115,IF(F115&lt;Assumptions!$B$5,EDATE(Assumptions!$B$5,Assumptions!$B$17),F115))))</f>
        <v/>
      </c>
      <c r="I115" s="16" t="str">
        <f t="shared" si="6"/>
        <v/>
      </c>
      <c r="J115" s="15" t="str">
        <f>IF(C115&lt;&gt;"OK","",IF(B115="INITIAL",EDATE(I115,Assumptions!$B$12)+Assumptions!$B$11,IF(B115="RECON",H115,"")))</f>
        <v/>
      </c>
      <c r="K115" s="15" t="str">
        <f>IF(C115&lt;&gt;"OK","",IF(B115="HEARING",'Case inputs'!D115,EDATE(J115,Assumptions!$B$13)))</f>
        <v/>
      </c>
      <c r="L115" s="15" t="str">
        <f>IF(C115&lt;&gt;"OK","",IF(G115="SCHEDULED",H115,EDATE(IF(B115="HEARING",H115,EDATE(K115,INT(D115))+ROUND(MOD(D115,1)*30.44,0)),Assumptions!$B$18)))</f>
        <v/>
      </c>
      <c r="M115" s="15" t="str">
        <f>IF(C115&lt;&gt;"OK","",EDATE(L115,Assumptions!$B$15))</f>
        <v/>
      </c>
      <c r="N115" s="17" t="str">
        <f>IF(C115&lt;&gt;"OK","",IF(B115="INITIAL",Assumptions!$B$21,0))</f>
        <v/>
      </c>
      <c r="O115" s="17" t="str">
        <f>IF(C115&lt;&gt;"OK","",IF(B115="INITIAL",(1-Assumptions!$B$21)*Assumptions!$B$24*Assumptions!$B$22,IF(B115="RECON",Assumptions!$B$22,0)))</f>
        <v/>
      </c>
      <c r="P115" s="17" t="str">
        <f>IF(C115&lt;&gt;"OK","",IF(B115="INITIAL",(1-Assumptions!$B$21)*Assumptions!$B$24*(1-Assumptions!$B$22)*Assumptions!$B$25,IF(B115="RECON",(1-Assumptions!$B$22)*Assumptions!$B$25,1)))</f>
        <v/>
      </c>
      <c r="Q115" s="17" t="str">
        <f>IF(C115&lt;&gt;"OK","",IF(B115="INITIAL",(1-Assumptions!$B$21)*(1-Assumptions!$B$24),0))</f>
        <v/>
      </c>
      <c r="R115" s="17" t="str">
        <f>IF(C115&lt;&gt;"OK","",IF(B115="INITIAL",(1-Assumptions!$B$21)*Assumptions!$B$24*(1-Assumptions!$B$22)*(1-Assumptions!$B$25),IF(B115="RECON",(1-Assumptions!$B$22)*(1-Assumptions!$B$25),0)))</f>
        <v/>
      </c>
      <c r="S115" s="17" t="str">
        <f>IF(C115&lt;&gt;"OK","",P115*Assumptions!$B$23)</f>
        <v/>
      </c>
      <c r="T115" s="17" t="str">
        <f>IF(C115&lt;&gt;"OK","",P115*(1-Assumptions!$B$23))</f>
        <v/>
      </c>
      <c r="U115" s="18" t="str">
        <f t="shared" si="7"/>
        <v/>
      </c>
      <c r="V115" s="15" t="str">
        <f>IF(C115&lt;&gt;"OK","",IF(B115="INITIAL",EDATE(I115,Assumptions!$B$14),""))</f>
        <v/>
      </c>
      <c r="W115" s="15" t="str">
        <f>IF(C115&lt;&gt;"OK","",IF(B115="HEARING","",EDATE(J115,Assumptions!$B$14)))</f>
        <v/>
      </c>
      <c r="X115" s="15" t="str">
        <f>IF(C115&lt;&gt;"OK","",EDATE(M115,Assumptions!$B$16))</f>
        <v/>
      </c>
    </row>
    <row r="116" spans="1:24" ht="22" customHeight="1">
      <c r="A116" s="11" t="str">
        <f>IF('Case inputs'!A116="","",'Case inputs'!A116)</f>
        <v/>
      </c>
      <c r="B116" s="11" t="str">
        <f>IF(A116="","",'Case inputs'!C116)</f>
        <v/>
      </c>
      <c r="C116" s="11" t="str">
        <f>IF('Case inputs'!I116="","",IF(Assumptions!$B$38&lt;&gt;"OK","ASSUMPTIONS INVALID",'Case inputs'!I116))</f>
        <v/>
      </c>
      <c r="D116" s="11" t="str">
        <f>IF(C116&lt;&gt;"OK","",VLOOKUP('Case inputs'!E116,Benchmarks!$A$6:$C$164,3,FALSE))</f>
        <v/>
      </c>
      <c r="E116" s="11" t="str">
        <f>IF(C116&lt;&gt;"OK","",Assumptions!$B$5-'Case inputs'!D116)</f>
        <v/>
      </c>
      <c r="F116" s="15" t="str">
        <f>IF(C116&lt;&gt;"OK","",IF(B116="INITIAL",'Case inputs'!D116+Assumptions!$B$10,IF(B116="RECON",'Case inputs'!D116+Assumptions!$B$11,EDATE('Case inputs'!D116,INT(D116))+ROUND(MOD(D116,1)*30.44,0))))</f>
        <v/>
      </c>
      <c r="G116" s="11" t="str">
        <f>IF(C116&lt;&gt;"OK","",IF(AND(B116="HEARING",'Case inputs'!F116&lt;&gt;"",'Case inputs'!F116&gt;=Assumptions!$B$5),"SCHEDULED",IF('Case inputs'!G116&lt;&gt;"","REVIEWED OVERRIDE",IF(F116&lt;Assumptions!$B$5,"OVERDUE: FUTURE WINDOW","BENCHMARK SCENARIO"))))</f>
        <v/>
      </c>
      <c r="H116" s="15" t="str">
        <f>IF(C116&lt;&gt;"OK","",IF(G116="SCHEDULED",'Case inputs'!F116,IF('Case inputs'!G116&lt;&gt;"",'Case inputs'!G116,IF(F116&lt;Assumptions!$B$5,EDATE(Assumptions!$B$5,Assumptions!$B$17),F116))))</f>
        <v/>
      </c>
      <c r="I116" s="16" t="str">
        <f t="shared" si="6"/>
        <v/>
      </c>
      <c r="J116" s="15" t="str">
        <f>IF(C116&lt;&gt;"OK","",IF(B116="INITIAL",EDATE(I116,Assumptions!$B$12)+Assumptions!$B$11,IF(B116="RECON",H116,"")))</f>
        <v/>
      </c>
      <c r="K116" s="15" t="str">
        <f>IF(C116&lt;&gt;"OK","",IF(B116="HEARING",'Case inputs'!D116,EDATE(J116,Assumptions!$B$13)))</f>
        <v/>
      </c>
      <c r="L116" s="15" t="str">
        <f>IF(C116&lt;&gt;"OK","",IF(G116="SCHEDULED",H116,EDATE(IF(B116="HEARING",H116,EDATE(K116,INT(D116))+ROUND(MOD(D116,1)*30.44,0)),Assumptions!$B$18)))</f>
        <v/>
      </c>
      <c r="M116" s="15" t="str">
        <f>IF(C116&lt;&gt;"OK","",EDATE(L116,Assumptions!$B$15))</f>
        <v/>
      </c>
      <c r="N116" s="17" t="str">
        <f>IF(C116&lt;&gt;"OK","",IF(B116="INITIAL",Assumptions!$B$21,0))</f>
        <v/>
      </c>
      <c r="O116" s="17" t="str">
        <f>IF(C116&lt;&gt;"OK","",IF(B116="INITIAL",(1-Assumptions!$B$21)*Assumptions!$B$24*Assumptions!$B$22,IF(B116="RECON",Assumptions!$B$22,0)))</f>
        <v/>
      </c>
      <c r="P116" s="17" t="str">
        <f>IF(C116&lt;&gt;"OK","",IF(B116="INITIAL",(1-Assumptions!$B$21)*Assumptions!$B$24*(1-Assumptions!$B$22)*Assumptions!$B$25,IF(B116="RECON",(1-Assumptions!$B$22)*Assumptions!$B$25,1)))</f>
        <v/>
      </c>
      <c r="Q116" s="17" t="str">
        <f>IF(C116&lt;&gt;"OK","",IF(B116="INITIAL",(1-Assumptions!$B$21)*(1-Assumptions!$B$24),0))</f>
        <v/>
      </c>
      <c r="R116" s="17" t="str">
        <f>IF(C116&lt;&gt;"OK","",IF(B116="INITIAL",(1-Assumptions!$B$21)*Assumptions!$B$24*(1-Assumptions!$B$22)*(1-Assumptions!$B$25),IF(B116="RECON",(1-Assumptions!$B$22)*(1-Assumptions!$B$25),0)))</f>
        <v/>
      </c>
      <c r="S116" s="17" t="str">
        <f>IF(C116&lt;&gt;"OK","",P116*Assumptions!$B$23)</f>
        <v/>
      </c>
      <c r="T116" s="17" t="str">
        <f>IF(C116&lt;&gt;"OK","",P116*(1-Assumptions!$B$23))</f>
        <v/>
      </c>
      <c r="U116" s="18" t="str">
        <f t="shared" si="7"/>
        <v/>
      </c>
      <c r="V116" s="15" t="str">
        <f>IF(C116&lt;&gt;"OK","",IF(B116="INITIAL",EDATE(I116,Assumptions!$B$14),""))</f>
        <v/>
      </c>
      <c r="W116" s="15" t="str">
        <f>IF(C116&lt;&gt;"OK","",IF(B116="HEARING","",EDATE(J116,Assumptions!$B$14)))</f>
        <v/>
      </c>
      <c r="X116" s="15" t="str">
        <f>IF(C116&lt;&gt;"OK","",EDATE(M116,Assumptions!$B$16))</f>
        <v/>
      </c>
    </row>
    <row r="117" spans="1:24" ht="22" customHeight="1">
      <c r="A117" s="11" t="str">
        <f>IF('Case inputs'!A117="","",'Case inputs'!A117)</f>
        <v/>
      </c>
      <c r="B117" s="11" t="str">
        <f>IF(A117="","",'Case inputs'!C117)</f>
        <v/>
      </c>
      <c r="C117" s="11" t="str">
        <f>IF('Case inputs'!I117="","",IF(Assumptions!$B$38&lt;&gt;"OK","ASSUMPTIONS INVALID",'Case inputs'!I117))</f>
        <v/>
      </c>
      <c r="D117" s="11" t="str">
        <f>IF(C117&lt;&gt;"OK","",VLOOKUP('Case inputs'!E117,Benchmarks!$A$6:$C$164,3,FALSE))</f>
        <v/>
      </c>
      <c r="E117" s="11" t="str">
        <f>IF(C117&lt;&gt;"OK","",Assumptions!$B$5-'Case inputs'!D117)</f>
        <v/>
      </c>
      <c r="F117" s="15" t="str">
        <f>IF(C117&lt;&gt;"OK","",IF(B117="INITIAL",'Case inputs'!D117+Assumptions!$B$10,IF(B117="RECON",'Case inputs'!D117+Assumptions!$B$11,EDATE('Case inputs'!D117,INT(D117))+ROUND(MOD(D117,1)*30.44,0))))</f>
        <v/>
      </c>
      <c r="G117" s="11" t="str">
        <f>IF(C117&lt;&gt;"OK","",IF(AND(B117="HEARING",'Case inputs'!F117&lt;&gt;"",'Case inputs'!F117&gt;=Assumptions!$B$5),"SCHEDULED",IF('Case inputs'!G117&lt;&gt;"","REVIEWED OVERRIDE",IF(F117&lt;Assumptions!$B$5,"OVERDUE: FUTURE WINDOW","BENCHMARK SCENARIO"))))</f>
        <v/>
      </c>
      <c r="H117" s="15" t="str">
        <f>IF(C117&lt;&gt;"OK","",IF(G117="SCHEDULED",'Case inputs'!F117,IF('Case inputs'!G117&lt;&gt;"",'Case inputs'!G117,IF(F117&lt;Assumptions!$B$5,EDATE(Assumptions!$B$5,Assumptions!$B$17),F117))))</f>
        <v/>
      </c>
      <c r="I117" s="16" t="str">
        <f t="shared" si="6"/>
        <v/>
      </c>
      <c r="J117" s="15" t="str">
        <f>IF(C117&lt;&gt;"OK","",IF(B117="INITIAL",EDATE(I117,Assumptions!$B$12)+Assumptions!$B$11,IF(B117="RECON",H117,"")))</f>
        <v/>
      </c>
      <c r="K117" s="15" t="str">
        <f>IF(C117&lt;&gt;"OK","",IF(B117="HEARING",'Case inputs'!D117,EDATE(J117,Assumptions!$B$13)))</f>
        <v/>
      </c>
      <c r="L117" s="15" t="str">
        <f>IF(C117&lt;&gt;"OK","",IF(G117="SCHEDULED",H117,EDATE(IF(B117="HEARING",H117,EDATE(K117,INT(D117))+ROUND(MOD(D117,1)*30.44,0)),Assumptions!$B$18)))</f>
        <v/>
      </c>
      <c r="M117" s="15" t="str">
        <f>IF(C117&lt;&gt;"OK","",EDATE(L117,Assumptions!$B$15))</f>
        <v/>
      </c>
      <c r="N117" s="17" t="str">
        <f>IF(C117&lt;&gt;"OK","",IF(B117="INITIAL",Assumptions!$B$21,0))</f>
        <v/>
      </c>
      <c r="O117" s="17" t="str">
        <f>IF(C117&lt;&gt;"OK","",IF(B117="INITIAL",(1-Assumptions!$B$21)*Assumptions!$B$24*Assumptions!$B$22,IF(B117="RECON",Assumptions!$B$22,0)))</f>
        <v/>
      </c>
      <c r="P117" s="17" t="str">
        <f>IF(C117&lt;&gt;"OK","",IF(B117="INITIAL",(1-Assumptions!$B$21)*Assumptions!$B$24*(1-Assumptions!$B$22)*Assumptions!$B$25,IF(B117="RECON",(1-Assumptions!$B$22)*Assumptions!$B$25,1)))</f>
        <v/>
      </c>
      <c r="Q117" s="17" t="str">
        <f>IF(C117&lt;&gt;"OK","",IF(B117="INITIAL",(1-Assumptions!$B$21)*(1-Assumptions!$B$24),0))</f>
        <v/>
      </c>
      <c r="R117" s="17" t="str">
        <f>IF(C117&lt;&gt;"OK","",IF(B117="INITIAL",(1-Assumptions!$B$21)*Assumptions!$B$24*(1-Assumptions!$B$22)*(1-Assumptions!$B$25),IF(B117="RECON",(1-Assumptions!$B$22)*(1-Assumptions!$B$25),0)))</f>
        <v/>
      </c>
      <c r="S117" s="17" t="str">
        <f>IF(C117&lt;&gt;"OK","",P117*Assumptions!$B$23)</f>
        <v/>
      </c>
      <c r="T117" s="17" t="str">
        <f>IF(C117&lt;&gt;"OK","",P117*(1-Assumptions!$B$23))</f>
        <v/>
      </c>
      <c r="U117" s="18" t="str">
        <f t="shared" si="7"/>
        <v/>
      </c>
      <c r="V117" s="15" t="str">
        <f>IF(C117&lt;&gt;"OK","",IF(B117="INITIAL",EDATE(I117,Assumptions!$B$14),""))</f>
        <v/>
      </c>
      <c r="W117" s="15" t="str">
        <f>IF(C117&lt;&gt;"OK","",IF(B117="HEARING","",EDATE(J117,Assumptions!$B$14)))</f>
        <v/>
      </c>
      <c r="X117" s="15" t="str">
        <f>IF(C117&lt;&gt;"OK","",EDATE(M117,Assumptions!$B$16))</f>
        <v/>
      </c>
    </row>
    <row r="118" spans="1:24" ht="22" customHeight="1">
      <c r="A118" s="11" t="str">
        <f>IF('Case inputs'!A118="","",'Case inputs'!A118)</f>
        <v/>
      </c>
      <c r="B118" s="11" t="str">
        <f>IF(A118="","",'Case inputs'!C118)</f>
        <v/>
      </c>
      <c r="C118" s="11" t="str">
        <f>IF('Case inputs'!I118="","",IF(Assumptions!$B$38&lt;&gt;"OK","ASSUMPTIONS INVALID",'Case inputs'!I118))</f>
        <v/>
      </c>
      <c r="D118" s="11" t="str">
        <f>IF(C118&lt;&gt;"OK","",VLOOKUP('Case inputs'!E118,Benchmarks!$A$6:$C$164,3,FALSE))</f>
        <v/>
      </c>
      <c r="E118" s="11" t="str">
        <f>IF(C118&lt;&gt;"OK","",Assumptions!$B$5-'Case inputs'!D118)</f>
        <v/>
      </c>
      <c r="F118" s="15" t="str">
        <f>IF(C118&lt;&gt;"OK","",IF(B118="INITIAL",'Case inputs'!D118+Assumptions!$B$10,IF(B118="RECON",'Case inputs'!D118+Assumptions!$B$11,EDATE('Case inputs'!D118,INT(D118))+ROUND(MOD(D118,1)*30.44,0))))</f>
        <v/>
      </c>
      <c r="G118" s="11" t="str">
        <f>IF(C118&lt;&gt;"OK","",IF(AND(B118="HEARING",'Case inputs'!F118&lt;&gt;"",'Case inputs'!F118&gt;=Assumptions!$B$5),"SCHEDULED",IF('Case inputs'!G118&lt;&gt;"","REVIEWED OVERRIDE",IF(F118&lt;Assumptions!$B$5,"OVERDUE: FUTURE WINDOW","BENCHMARK SCENARIO"))))</f>
        <v/>
      </c>
      <c r="H118" s="15" t="str">
        <f>IF(C118&lt;&gt;"OK","",IF(G118="SCHEDULED",'Case inputs'!F118,IF('Case inputs'!G118&lt;&gt;"",'Case inputs'!G118,IF(F118&lt;Assumptions!$B$5,EDATE(Assumptions!$B$5,Assumptions!$B$17),F118))))</f>
        <v/>
      </c>
      <c r="I118" s="16" t="str">
        <f t="shared" si="6"/>
        <v/>
      </c>
      <c r="J118" s="15" t="str">
        <f>IF(C118&lt;&gt;"OK","",IF(B118="INITIAL",EDATE(I118,Assumptions!$B$12)+Assumptions!$B$11,IF(B118="RECON",H118,"")))</f>
        <v/>
      </c>
      <c r="K118" s="15" t="str">
        <f>IF(C118&lt;&gt;"OK","",IF(B118="HEARING",'Case inputs'!D118,EDATE(J118,Assumptions!$B$13)))</f>
        <v/>
      </c>
      <c r="L118" s="15" t="str">
        <f>IF(C118&lt;&gt;"OK","",IF(G118="SCHEDULED",H118,EDATE(IF(B118="HEARING",H118,EDATE(K118,INT(D118))+ROUND(MOD(D118,1)*30.44,0)),Assumptions!$B$18)))</f>
        <v/>
      </c>
      <c r="M118" s="15" t="str">
        <f>IF(C118&lt;&gt;"OK","",EDATE(L118,Assumptions!$B$15))</f>
        <v/>
      </c>
      <c r="N118" s="17" t="str">
        <f>IF(C118&lt;&gt;"OK","",IF(B118="INITIAL",Assumptions!$B$21,0))</f>
        <v/>
      </c>
      <c r="O118" s="17" t="str">
        <f>IF(C118&lt;&gt;"OK","",IF(B118="INITIAL",(1-Assumptions!$B$21)*Assumptions!$B$24*Assumptions!$B$22,IF(B118="RECON",Assumptions!$B$22,0)))</f>
        <v/>
      </c>
      <c r="P118" s="17" t="str">
        <f>IF(C118&lt;&gt;"OK","",IF(B118="INITIAL",(1-Assumptions!$B$21)*Assumptions!$B$24*(1-Assumptions!$B$22)*Assumptions!$B$25,IF(B118="RECON",(1-Assumptions!$B$22)*Assumptions!$B$25,1)))</f>
        <v/>
      </c>
      <c r="Q118" s="17" t="str">
        <f>IF(C118&lt;&gt;"OK","",IF(B118="INITIAL",(1-Assumptions!$B$21)*(1-Assumptions!$B$24),0))</f>
        <v/>
      </c>
      <c r="R118" s="17" t="str">
        <f>IF(C118&lt;&gt;"OK","",IF(B118="INITIAL",(1-Assumptions!$B$21)*Assumptions!$B$24*(1-Assumptions!$B$22)*(1-Assumptions!$B$25),IF(B118="RECON",(1-Assumptions!$B$22)*(1-Assumptions!$B$25),0)))</f>
        <v/>
      </c>
      <c r="S118" s="17" t="str">
        <f>IF(C118&lt;&gt;"OK","",P118*Assumptions!$B$23)</f>
        <v/>
      </c>
      <c r="T118" s="17" t="str">
        <f>IF(C118&lt;&gt;"OK","",P118*(1-Assumptions!$B$23))</f>
        <v/>
      </c>
      <c r="U118" s="18" t="str">
        <f t="shared" si="7"/>
        <v/>
      </c>
      <c r="V118" s="15" t="str">
        <f>IF(C118&lt;&gt;"OK","",IF(B118="INITIAL",EDATE(I118,Assumptions!$B$14),""))</f>
        <v/>
      </c>
      <c r="W118" s="15" t="str">
        <f>IF(C118&lt;&gt;"OK","",IF(B118="HEARING","",EDATE(J118,Assumptions!$B$14)))</f>
        <v/>
      </c>
      <c r="X118" s="15" t="str">
        <f>IF(C118&lt;&gt;"OK","",EDATE(M118,Assumptions!$B$16))</f>
        <v/>
      </c>
    </row>
    <row r="119" spans="1:24" ht="22" customHeight="1">
      <c r="A119" s="11" t="str">
        <f>IF('Case inputs'!A119="","",'Case inputs'!A119)</f>
        <v/>
      </c>
      <c r="B119" s="11" t="str">
        <f>IF(A119="","",'Case inputs'!C119)</f>
        <v/>
      </c>
      <c r="C119" s="11" t="str">
        <f>IF('Case inputs'!I119="","",IF(Assumptions!$B$38&lt;&gt;"OK","ASSUMPTIONS INVALID",'Case inputs'!I119))</f>
        <v/>
      </c>
      <c r="D119" s="11" t="str">
        <f>IF(C119&lt;&gt;"OK","",VLOOKUP('Case inputs'!E119,Benchmarks!$A$6:$C$164,3,FALSE))</f>
        <v/>
      </c>
      <c r="E119" s="11" t="str">
        <f>IF(C119&lt;&gt;"OK","",Assumptions!$B$5-'Case inputs'!D119)</f>
        <v/>
      </c>
      <c r="F119" s="15" t="str">
        <f>IF(C119&lt;&gt;"OK","",IF(B119="INITIAL",'Case inputs'!D119+Assumptions!$B$10,IF(B119="RECON",'Case inputs'!D119+Assumptions!$B$11,EDATE('Case inputs'!D119,INT(D119))+ROUND(MOD(D119,1)*30.44,0))))</f>
        <v/>
      </c>
      <c r="G119" s="11" t="str">
        <f>IF(C119&lt;&gt;"OK","",IF(AND(B119="HEARING",'Case inputs'!F119&lt;&gt;"",'Case inputs'!F119&gt;=Assumptions!$B$5),"SCHEDULED",IF('Case inputs'!G119&lt;&gt;"","REVIEWED OVERRIDE",IF(F119&lt;Assumptions!$B$5,"OVERDUE: FUTURE WINDOW","BENCHMARK SCENARIO"))))</f>
        <v/>
      </c>
      <c r="H119" s="15" t="str">
        <f>IF(C119&lt;&gt;"OK","",IF(G119="SCHEDULED",'Case inputs'!F119,IF('Case inputs'!G119&lt;&gt;"",'Case inputs'!G119,IF(F119&lt;Assumptions!$B$5,EDATE(Assumptions!$B$5,Assumptions!$B$17),F119))))</f>
        <v/>
      </c>
      <c r="I119" s="16" t="str">
        <f t="shared" si="6"/>
        <v/>
      </c>
      <c r="J119" s="15" t="str">
        <f>IF(C119&lt;&gt;"OK","",IF(B119="INITIAL",EDATE(I119,Assumptions!$B$12)+Assumptions!$B$11,IF(B119="RECON",H119,"")))</f>
        <v/>
      </c>
      <c r="K119" s="15" t="str">
        <f>IF(C119&lt;&gt;"OK","",IF(B119="HEARING",'Case inputs'!D119,EDATE(J119,Assumptions!$B$13)))</f>
        <v/>
      </c>
      <c r="L119" s="15" t="str">
        <f>IF(C119&lt;&gt;"OK","",IF(G119="SCHEDULED",H119,EDATE(IF(B119="HEARING",H119,EDATE(K119,INT(D119))+ROUND(MOD(D119,1)*30.44,0)),Assumptions!$B$18)))</f>
        <v/>
      </c>
      <c r="M119" s="15" t="str">
        <f>IF(C119&lt;&gt;"OK","",EDATE(L119,Assumptions!$B$15))</f>
        <v/>
      </c>
      <c r="N119" s="17" t="str">
        <f>IF(C119&lt;&gt;"OK","",IF(B119="INITIAL",Assumptions!$B$21,0))</f>
        <v/>
      </c>
      <c r="O119" s="17" t="str">
        <f>IF(C119&lt;&gt;"OK","",IF(B119="INITIAL",(1-Assumptions!$B$21)*Assumptions!$B$24*Assumptions!$B$22,IF(B119="RECON",Assumptions!$B$22,0)))</f>
        <v/>
      </c>
      <c r="P119" s="17" t="str">
        <f>IF(C119&lt;&gt;"OK","",IF(B119="INITIAL",(1-Assumptions!$B$21)*Assumptions!$B$24*(1-Assumptions!$B$22)*Assumptions!$B$25,IF(B119="RECON",(1-Assumptions!$B$22)*Assumptions!$B$25,1)))</f>
        <v/>
      </c>
      <c r="Q119" s="17" t="str">
        <f>IF(C119&lt;&gt;"OK","",IF(B119="INITIAL",(1-Assumptions!$B$21)*(1-Assumptions!$B$24),0))</f>
        <v/>
      </c>
      <c r="R119" s="17" t="str">
        <f>IF(C119&lt;&gt;"OK","",IF(B119="INITIAL",(1-Assumptions!$B$21)*Assumptions!$B$24*(1-Assumptions!$B$22)*(1-Assumptions!$B$25),IF(B119="RECON",(1-Assumptions!$B$22)*(1-Assumptions!$B$25),0)))</f>
        <v/>
      </c>
      <c r="S119" s="17" t="str">
        <f>IF(C119&lt;&gt;"OK","",P119*Assumptions!$B$23)</f>
        <v/>
      </c>
      <c r="T119" s="17" t="str">
        <f>IF(C119&lt;&gt;"OK","",P119*(1-Assumptions!$B$23))</f>
        <v/>
      </c>
      <c r="U119" s="18" t="str">
        <f t="shared" si="7"/>
        <v/>
      </c>
      <c r="V119" s="15" t="str">
        <f>IF(C119&lt;&gt;"OK","",IF(B119="INITIAL",EDATE(I119,Assumptions!$B$14),""))</f>
        <v/>
      </c>
      <c r="W119" s="15" t="str">
        <f>IF(C119&lt;&gt;"OK","",IF(B119="HEARING","",EDATE(J119,Assumptions!$B$14)))</f>
        <v/>
      </c>
      <c r="X119" s="15" t="str">
        <f>IF(C119&lt;&gt;"OK","",EDATE(M119,Assumptions!$B$16))</f>
        <v/>
      </c>
    </row>
    <row r="120" spans="1:24" ht="22" customHeight="1">
      <c r="A120" s="11" t="str">
        <f>IF('Case inputs'!A120="","",'Case inputs'!A120)</f>
        <v/>
      </c>
      <c r="B120" s="11" t="str">
        <f>IF(A120="","",'Case inputs'!C120)</f>
        <v/>
      </c>
      <c r="C120" s="11" t="str">
        <f>IF('Case inputs'!I120="","",IF(Assumptions!$B$38&lt;&gt;"OK","ASSUMPTIONS INVALID",'Case inputs'!I120))</f>
        <v/>
      </c>
      <c r="D120" s="11" t="str">
        <f>IF(C120&lt;&gt;"OK","",VLOOKUP('Case inputs'!E120,Benchmarks!$A$6:$C$164,3,FALSE))</f>
        <v/>
      </c>
      <c r="E120" s="11" t="str">
        <f>IF(C120&lt;&gt;"OK","",Assumptions!$B$5-'Case inputs'!D120)</f>
        <v/>
      </c>
      <c r="F120" s="15" t="str">
        <f>IF(C120&lt;&gt;"OK","",IF(B120="INITIAL",'Case inputs'!D120+Assumptions!$B$10,IF(B120="RECON",'Case inputs'!D120+Assumptions!$B$11,EDATE('Case inputs'!D120,INT(D120))+ROUND(MOD(D120,1)*30.44,0))))</f>
        <v/>
      </c>
      <c r="G120" s="11" t="str">
        <f>IF(C120&lt;&gt;"OK","",IF(AND(B120="HEARING",'Case inputs'!F120&lt;&gt;"",'Case inputs'!F120&gt;=Assumptions!$B$5),"SCHEDULED",IF('Case inputs'!G120&lt;&gt;"","REVIEWED OVERRIDE",IF(F120&lt;Assumptions!$B$5,"OVERDUE: FUTURE WINDOW","BENCHMARK SCENARIO"))))</f>
        <v/>
      </c>
      <c r="H120" s="15" t="str">
        <f>IF(C120&lt;&gt;"OK","",IF(G120="SCHEDULED",'Case inputs'!F120,IF('Case inputs'!G120&lt;&gt;"",'Case inputs'!G120,IF(F120&lt;Assumptions!$B$5,EDATE(Assumptions!$B$5,Assumptions!$B$17),F120))))</f>
        <v/>
      </c>
      <c r="I120" s="16" t="str">
        <f t="shared" si="6"/>
        <v/>
      </c>
      <c r="J120" s="15" t="str">
        <f>IF(C120&lt;&gt;"OK","",IF(B120="INITIAL",EDATE(I120,Assumptions!$B$12)+Assumptions!$B$11,IF(B120="RECON",H120,"")))</f>
        <v/>
      </c>
      <c r="K120" s="15" t="str">
        <f>IF(C120&lt;&gt;"OK","",IF(B120="HEARING",'Case inputs'!D120,EDATE(J120,Assumptions!$B$13)))</f>
        <v/>
      </c>
      <c r="L120" s="15" t="str">
        <f>IF(C120&lt;&gt;"OK","",IF(G120="SCHEDULED",H120,EDATE(IF(B120="HEARING",H120,EDATE(K120,INT(D120))+ROUND(MOD(D120,1)*30.44,0)),Assumptions!$B$18)))</f>
        <v/>
      </c>
      <c r="M120" s="15" t="str">
        <f>IF(C120&lt;&gt;"OK","",EDATE(L120,Assumptions!$B$15))</f>
        <v/>
      </c>
      <c r="N120" s="17" t="str">
        <f>IF(C120&lt;&gt;"OK","",IF(B120="INITIAL",Assumptions!$B$21,0))</f>
        <v/>
      </c>
      <c r="O120" s="17" t="str">
        <f>IF(C120&lt;&gt;"OK","",IF(B120="INITIAL",(1-Assumptions!$B$21)*Assumptions!$B$24*Assumptions!$B$22,IF(B120="RECON",Assumptions!$B$22,0)))</f>
        <v/>
      </c>
      <c r="P120" s="17" t="str">
        <f>IF(C120&lt;&gt;"OK","",IF(B120="INITIAL",(1-Assumptions!$B$21)*Assumptions!$B$24*(1-Assumptions!$B$22)*Assumptions!$B$25,IF(B120="RECON",(1-Assumptions!$B$22)*Assumptions!$B$25,1)))</f>
        <v/>
      </c>
      <c r="Q120" s="17" t="str">
        <f>IF(C120&lt;&gt;"OK","",IF(B120="INITIAL",(1-Assumptions!$B$21)*(1-Assumptions!$B$24),0))</f>
        <v/>
      </c>
      <c r="R120" s="17" t="str">
        <f>IF(C120&lt;&gt;"OK","",IF(B120="INITIAL",(1-Assumptions!$B$21)*Assumptions!$B$24*(1-Assumptions!$B$22)*(1-Assumptions!$B$25),IF(B120="RECON",(1-Assumptions!$B$22)*(1-Assumptions!$B$25),0)))</f>
        <v/>
      </c>
      <c r="S120" s="17" t="str">
        <f>IF(C120&lt;&gt;"OK","",P120*Assumptions!$B$23)</f>
        <v/>
      </c>
      <c r="T120" s="17" t="str">
        <f>IF(C120&lt;&gt;"OK","",P120*(1-Assumptions!$B$23))</f>
        <v/>
      </c>
      <c r="U120" s="18" t="str">
        <f t="shared" si="7"/>
        <v/>
      </c>
      <c r="V120" s="15" t="str">
        <f>IF(C120&lt;&gt;"OK","",IF(B120="INITIAL",EDATE(I120,Assumptions!$B$14),""))</f>
        <v/>
      </c>
      <c r="W120" s="15" t="str">
        <f>IF(C120&lt;&gt;"OK","",IF(B120="HEARING","",EDATE(J120,Assumptions!$B$14)))</f>
        <v/>
      </c>
      <c r="X120" s="15" t="str">
        <f>IF(C120&lt;&gt;"OK","",EDATE(M120,Assumptions!$B$16))</f>
        <v/>
      </c>
    </row>
    <row r="121" spans="1:24" ht="22" customHeight="1">
      <c r="A121" s="11" t="str">
        <f>IF('Case inputs'!A121="","",'Case inputs'!A121)</f>
        <v/>
      </c>
      <c r="B121" s="11" t="str">
        <f>IF(A121="","",'Case inputs'!C121)</f>
        <v/>
      </c>
      <c r="C121" s="11" t="str">
        <f>IF('Case inputs'!I121="","",IF(Assumptions!$B$38&lt;&gt;"OK","ASSUMPTIONS INVALID",'Case inputs'!I121))</f>
        <v/>
      </c>
      <c r="D121" s="11" t="str">
        <f>IF(C121&lt;&gt;"OK","",VLOOKUP('Case inputs'!E121,Benchmarks!$A$6:$C$164,3,FALSE))</f>
        <v/>
      </c>
      <c r="E121" s="11" t="str">
        <f>IF(C121&lt;&gt;"OK","",Assumptions!$B$5-'Case inputs'!D121)</f>
        <v/>
      </c>
      <c r="F121" s="15" t="str">
        <f>IF(C121&lt;&gt;"OK","",IF(B121="INITIAL",'Case inputs'!D121+Assumptions!$B$10,IF(B121="RECON",'Case inputs'!D121+Assumptions!$B$11,EDATE('Case inputs'!D121,INT(D121))+ROUND(MOD(D121,1)*30.44,0))))</f>
        <v/>
      </c>
      <c r="G121" s="11" t="str">
        <f>IF(C121&lt;&gt;"OK","",IF(AND(B121="HEARING",'Case inputs'!F121&lt;&gt;"",'Case inputs'!F121&gt;=Assumptions!$B$5),"SCHEDULED",IF('Case inputs'!G121&lt;&gt;"","REVIEWED OVERRIDE",IF(F121&lt;Assumptions!$B$5,"OVERDUE: FUTURE WINDOW","BENCHMARK SCENARIO"))))</f>
        <v/>
      </c>
      <c r="H121" s="15" t="str">
        <f>IF(C121&lt;&gt;"OK","",IF(G121="SCHEDULED",'Case inputs'!F121,IF('Case inputs'!G121&lt;&gt;"",'Case inputs'!G121,IF(F121&lt;Assumptions!$B$5,EDATE(Assumptions!$B$5,Assumptions!$B$17),F121))))</f>
        <v/>
      </c>
      <c r="I121" s="16" t="str">
        <f t="shared" si="6"/>
        <v/>
      </c>
      <c r="J121" s="15" t="str">
        <f>IF(C121&lt;&gt;"OK","",IF(B121="INITIAL",EDATE(I121,Assumptions!$B$12)+Assumptions!$B$11,IF(B121="RECON",H121,"")))</f>
        <v/>
      </c>
      <c r="K121" s="15" t="str">
        <f>IF(C121&lt;&gt;"OK","",IF(B121="HEARING",'Case inputs'!D121,EDATE(J121,Assumptions!$B$13)))</f>
        <v/>
      </c>
      <c r="L121" s="15" t="str">
        <f>IF(C121&lt;&gt;"OK","",IF(G121="SCHEDULED",H121,EDATE(IF(B121="HEARING",H121,EDATE(K121,INT(D121))+ROUND(MOD(D121,1)*30.44,0)),Assumptions!$B$18)))</f>
        <v/>
      </c>
      <c r="M121" s="15" t="str">
        <f>IF(C121&lt;&gt;"OK","",EDATE(L121,Assumptions!$B$15))</f>
        <v/>
      </c>
      <c r="N121" s="17" t="str">
        <f>IF(C121&lt;&gt;"OK","",IF(B121="INITIAL",Assumptions!$B$21,0))</f>
        <v/>
      </c>
      <c r="O121" s="17" t="str">
        <f>IF(C121&lt;&gt;"OK","",IF(B121="INITIAL",(1-Assumptions!$B$21)*Assumptions!$B$24*Assumptions!$B$22,IF(B121="RECON",Assumptions!$B$22,0)))</f>
        <v/>
      </c>
      <c r="P121" s="17" t="str">
        <f>IF(C121&lt;&gt;"OK","",IF(B121="INITIAL",(1-Assumptions!$B$21)*Assumptions!$B$24*(1-Assumptions!$B$22)*Assumptions!$B$25,IF(B121="RECON",(1-Assumptions!$B$22)*Assumptions!$B$25,1)))</f>
        <v/>
      </c>
      <c r="Q121" s="17" t="str">
        <f>IF(C121&lt;&gt;"OK","",IF(B121="INITIAL",(1-Assumptions!$B$21)*(1-Assumptions!$B$24),0))</f>
        <v/>
      </c>
      <c r="R121" s="17" t="str">
        <f>IF(C121&lt;&gt;"OK","",IF(B121="INITIAL",(1-Assumptions!$B$21)*Assumptions!$B$24*(1-Assumptions!$B$22)*(1-Assumptions!$B$25),IF(B121="RECON",(1-Assumptions!$B$22)*(1-Assumptions!$B$25),0)))</f>
        <v/>
      </c>
      <c r="S121" s="17" t="str">
        <f>IF(C121&lt;&gt;"OK","",P121*Assumptions!$B$23)</f>
        <v/>
      </c>
      <c r="T121" s="17" t="str">
        <f>IF(C121&lt;&gt;"OK","",P121*(1-Assumptions!$B$23))</f>
        <v/>
      </c>
      <c r="U121" s="18" t="str">
        <f t="shared" si="7"/>
        <v/>
      </c>
      <c r="V121" s="15" t="str">
        <f>IF(C121&lt;&gt;"OK","",IF(B121="INITIAL",EDATE(I121,Assumptions!$B$14),""))</f>
        <v/>
      </c>
      <c r="W121" s="15" t="str">
        <f>IF(C121&lt;&gt;"OK","",IF(B121="HEARING","",EDATE(J121,Assumptions!$B$14)))</f>
        <v/>
      </c>
      <c r="X121" s="15" t="str">
        <f>IF(C121&lt;&gt;"OK","",EDATE(M121,Assumptions!$B$16))</f>
        <v/>
      </c>
    </row>
    <row r="122" spans="1:24" ht="22" customHeight="1">
      <c r="A122" s="11" t="str">
        <f>IF('Case inputs'!A122="","",'Case inputs'!A122)</f>
        <v/>
      </c>
      <c r="B122" s="11" t="str">
        <f>IF(A122="","",'Case inputs'!C122)</f>
        <v/>
      </c>
      <c r="C122" s="11" t="str">
        <f>IF('Case inputs'!I122="","",IF(Assumptions!$B$38&lt;&gt;"OK","ASSUMPTIONS INVALID",'Case inputs'!I122))</f>
        <v/>
      </c>
      <c r="D122" s="11" t="str">
        <f>IF(C122&lt;&gt;"OK","",VLOOKUP('Case inputs'!E122,Benchmarks!$A$6:$C$164,3,FALSE))</f>
        <v/>
      </c>
      <c r="E122" s="11" t="str">
        <f>IF(C122&lt;&gt;"OK","",Assumptions!$B$5-'Case inputs'!D122)</f>
        <v/>
      </c>
      <c r="F122" s="15" t="str">
        <f>IF(C122&lt;&gt;"OK","",IF(B122="INITIAL",'Case inputs'!D122+Assumptions!$B$10,IF(B122="RECON",'Case inputs'!D122+Assumptions!$B$11,EDATE('Case inputs'!D122,INT(D122))+ROUND(MOD(D122,1)*30.44,0))))</f>
        <v/>
      </c>
      <c r="G122" s="11" t="str">
        <f>IF(C122&lt;&gt;"OK","",IF(AND(B122="HEARING",'Case inputs'!F122&lt;&gt;"",'Case inputs'!F122&gt;=Assumptions!$B$5),"SCHEDULED",IF('Case inputs'!G122&lt;&gt;"","REVIEWED OVERRIDE",IF(F122&lt;Assumptions!$B$5,"OVERDUE: FUTURE WINDOW","BENCHMARK SCENARIO"))))</f>
        <v/>
      </c>
      <c r="H122" s="15" t="str">
        <f>IF(C122&lt;&gt;"OK","",IF(G122="SCHEDULED",'Case inputs'!F122,IF('Case inputs'!G122&lt;&gt;"",'Case inputs'!G122,IF(F122&lt;Assumptions!$B$5,EDATE(Assumptions!$B$5,Assumptions!$B$17),F122))))</f>
        <v/>
      </c>
      <c r="I122" s="16" t="str">
        <f t="shared" si="6"/>
        <v/>
      </c>
      <c r="J122" s="15" t="str">
        <f>IF(C122&lt;&gt;"OK","",IF(B122="INITIAL",EDATE(I122,Assumptions!$B$12)+Assumptions!$B$11,IF(B122="RECON",H122,"")))</f>
        <v/>
      </c>
      <c r="K122" s="15" t="str">
        <f>IF(C122&lt;&gt;"OK","",IF(B122="HEARING",'Case inputs'!D122,EDATE(J122,Assumptions!$B$13)))</f>
        <v/>
      </c>
      <c r="L122" s="15" t="str">
        <f>IF(C122&lt;&gt;"OK","",IF(G122="SCHEDULED",H122,EDATE(IF(B122="HEARING",H122,EDATE(K122,INT(D122))+ROUND(MOD(D122,1)*30.44,0)),Assumptions!$B$18)))</f>
        <v/>
      </c>
      <c r="M122" s="15" t="str">
        <f>IF(C122&lt;&gt;"OK","",EDATE(L122,Assumptions!$B$15))</f>
        <v/>
      </c>
      <c r="N122" s="17" t="str">
        <f>IF(C122&lt;&gt;"OK","",IF(B122="INITIAL",Assumptions!$B$21,0))</f>
        <v/>
      </c>
      <c r="O122" s="17" t="str">
        <f>IF(C122&lt;&gt;"OK","",IF(B122="INITIAL",(1-Assumptions!$B$21)*Assumptions!$B$24*Assumptions!$B$22,IF(B122="RECON",Assumptions!$B$22,0)))</f>
        <v/>
      </c>
      <c r="P122" s="17" t="str">
        <f>IF(C122&lt;&gt;"OK","",IF(B122="INITIAL",(1-Assumptions!$B$21)*Assumptions!$B$24*(1-Assumptions!$B$22)*Assumptions!$B$25,IF(B122="RECON",(1-Assumptions!$B$22)*Assumptions!$B$25,1)))</f>
        <v/>
      </c>
      <c r="Q122" s="17" t="str">
        <f>IF(C122&lt;&gt;"OK","",IF(B122="INITIAL",(1-Assumptions!$B$21)*(1-Assumptions!$B$24),0))</f>
        <v/>
      </c>
      <c r="R122" s="17" t="str">
        <f>IF(C122&lt;&gt;"OK","",IF(B122="INITIAL",(1-Assumptions!$B$21)*Assumptions!$B$24*(1-Assumptions!$B$22)*(1-Assumptions!$B$25),IF(B122="RECON",(1-Assumptions!$B$22)*(1-Assumptions!$B$25),0)))</f>
        <v/>
      </c>
      <c r="S122" s="17" t="str">
        <f>IF(C122&lt;&gt;"OK","",P122*Assumptions!$B$23)</f>
        <v/>
      </c>
      <c r="T122" s="17" t="str">
        <f>IF(C122&lt;&gt;"OK","",P122*(1-Assumptions!$B$23))</f>
        <v/>
      </c>
      <c r="U122" s="18" t="str">
        <f t="shared" si="7"/>
        <v/>
      </c>
      <c r="V122" s="15" t="str">
        <f>IF(C122&lt;&gt;"OK","",IF(B122="INITIAL",EDATE(I122,Assumptions!$B$14),""))</f>
        <v/>
      </c>
      <c r="W122" s="15" t="str">
        <f>IF(C122&lt;&gt;"OK","",IF(B122="HEARING","",EDATE(J122,Assumptions!$B$14)))</f>
        <v/>
      </c>
      <c r="X122" s="15" t="str">
        <f>IF(C122&lt;&gt;"OK","",EDATE(M122,Assumptions!$B$16))</f>
        <v/>
      </c>
    </row>
    <row r="123" spans="1:24" ht="22" customHeight="1">
      <c r="A123" s="11" t="str">
        <f>IF('Case inputs'!A123="","",'Case inputs'!A123)</f>
        <v/>
      </c>
      <c r="B123" s="11" t="str">
        <f>IF(A123="","",'Case inputs'!C123)</f>
        <v/>
      </c>
      <c r="C123" s="11" t="str">
        <f>IF('Case inputs'!I123="","",IF(Assumptions!$B$38&lt;&gt;"OK","ASSUMPTIONS INVALID",'Case inputs'!I123))</f>
        <v/>
      </c>
      <c r="D123" s="11" t="str">
        <f>IF(C123&lt;&gt;"OK","",VLOOKUP('Case inputs'!E123,Benchmarks!$A$6:$C$164,3,FALSE))</f>
        <v/>
      </c>
      <c r="E123" s="11" t="str">
        <f>IF(C123&lt;&gt;"OK","",Assumptions!$B$5-'Case inputs'!D123)</f>
        <v/>
      </c>
      <c r="F123" s="15" t="str">
        <f>IF(C123&lt;&gt;"OK","",IF(B123="INITIAL",'Case inputs'!D123+Assumptions!$B$10,IF(B123="RECON",'Case inputs'!D123+Assumptions!$B$11,EDATE('Case inputs'!D123,INT(D123))+ROUND(MOD(D123,1)*30.44,0))))</f>
        <v/>
      </c>
      <c r="G123" s="11" t="str">
        <f>IF(C123&lt;&gt;"OK","",IF(AND(B123="HEARING",'Case inputs'!F123&lt;&gt;"",'Case inputs'!F123&gt;=Assumptions!$B$5),"SCHEDULED",IF('Case inputs'!G123&lt;&gt;"","REVIEWED OVERRIDE",IF(F123&lt;Assumptions!$B$5,"OVERDUE: FUTURE WINDOW","BENCHMARK SCENARIO"))))</f>
        <v/>
      </c>
      <c r="H123" s="15" t="str">
        <f>IF(C123&lt;&gt;"OK","",IF(G123="SCHEDULED",'Case inputs'!F123,IF('Case inputs'!G123&lt;&gt;"",'Case inputs'!G123,IF(F123&lt;Assumptions!$B$5,EDATE(Assumptions!$B$5,Assumptions!$B$17),F123))))</f>
        <v/>
      </c>
      <c r="I123" s="16" t="str">
        <f t="shared" si="6"/>
        <v/>
      </c>
      <c r="J123" s="15" t="str">
        <f>IF(C123&lt;&gt;"OK","",IF(B123="INITIAL",EDATE(I123,Assumptions!$B$12)+Assumptions!$B$11,IF(B123="RECON",H123,"")))</f>
        <v/>
      </c>
      <c r="K123" s="15" t="str">
        <f>IF(C123&lt;&gt;"OK","",IF(B123="HEARING",'Case inputs'!D123,EDATE(J123,Assumptions!$B$13)))</f>
        <v/>
      </c>
      <c r="L123" s="15" t="str">
        <f>IF(C123&lt;&gt;"OK","",IF(G123="SCHEDULED",H123,EDATE(IF(B123="HEARING",H123,EDATE(K123,INT(D123))+ROUND(MOD(D123,1)*30.44,0)),Assumptions!$B$18)))</f>
        <v/>
      </c>
      <c r="M123" s="15" t="str">
        <f>IF(C123&lt;&gt;"OK","",EDATE(L123,Assumptions!$B$15))</f>
        <v/>
      </c>
      <c r="N123" s="17" t="str">
        <f>IF(C123&lt;&gt;"OK","",IF(B123="INITIAL",Assumptions!$B$21,0))</f>
        <v/>
      </c>
      <c r="O123" s="17" t="str">
        <f>IF(C123&lt;&gt;"OK","",IF(B123="INITIAL",(1-Assumptions!$B$21)*Assumptions!$B$24*Assumptions!$B$22,IF(B123="RECON",Assumptions!$B$22,0)))</f>
        <v/>
      </c>
      <c r="P123" s="17" t="str">
        <f>IF(C123&lt;&gt;"OK","",IF(B123="INITIAL",(1-Assumptions!$B$21)*Assumptions!$B$24*(1-Assumptions!$B$22)*Assumptions!$B$25,IF(B123="RECON",(1-Assumptions!$B$22)*Assumptions!$B$25,1)))</f>
        <v/>
      </c>
      <c r="Q123" s="17" t="str">
        <f>IF(C123&lt;&gt;"OK","",IF(B123="INITIAL",(1-Assumptions!$B$21)*(1-Assumptions!$B$24),0))</f>
        <v/>
      </c>
      <c r="R123" s="17" t="str">
        <f>IF(C123&lt;&gt;"OK","",IF(B123="INITIAL",(1-Assumptions!$B$21)*Assumptions!$B$24*(1-Assumptions!$B$22)*(1-Assumptions!$B$25),IF(B123="RECON",(1-Assumptions!$B$22)*(1-Assumptions!$B$25),0)))</f>
        <v/>
      </c>
      <c r="S123" s="17" t="str">
        <f>IF(C123&lt;&gt;"OK","",P123*Assumptions!$B$23)</f>
        <v/>
      </c>
      <c r="T123" s="17" t="str">
        <f>IF(C123&lt;&gt;"OK","",P123*(1-Assumptions!$B$23))</f>
        <v/>
      </c>
      <c r="U123" s="18" t="str">
        <f t="shared" si="7"/>
        <v/>
      </c>
      <c r="V123" s="15" t="str">
        <f>IF(C123&lt;&gt;"OK","",IF(B123="INITIAL",EDATE(I123,Assumptions!$B$14),""))</f>
        <v/>
      </c>
      <c r="W123" s="15" t="str">
        <f>IF(C123&lt;&gt;"OK","",IF(B123="HEARING","",EDATE(J123,Assumptions!$B$14)))</f>
        <v/>
      </c>
      <c r="X123" s="15" t="str">
        <f>IF(C123&lt;&gt;"OK","",EDATE(M123,Assumptions!$B$16))</f>
        <v/>
      </c>
    </row>
    <row r="124" spans="1:24" ht="22" customHeight="1">
      <c r="A124" s="11" t="str">
        <f>IF('Case inputs'!A124="","",'Case inputs'!A124)</f>
        <v/>
      </c>
      <c r="B124" s="11" t="str">
        <f>IF(A124="","",'Case inputs'!C124)</f>
        <v/>
      </c>
      <c r="C124" s="11" t="str">
        <f>IF('Case inputs'!I124="","",IF(Assumptions!$B$38&lt;&gt;"OK","ASSUMPTIONS INVALID",'Case inputs'!I124))</f>
        <v/>
      </c>
      <c r="D124" s="11" t="str">
        <f>IF(C124&lt;&gt;"OK","",VLOOKUP('Case inputs'!E124,Benchmarks!$A$6:$C$164,3,FALSE))</f>
        <v/>
      </c>
      <c r="E124" s="11" t="str">
        <f>IF(C124&lt;&gt;"OK","",Assumptions!$B$5-'Case inputs'!D124)</f>
        <v/>
      </c>
      <c r="F124" s="15" t="str">
        <f>IF(C124&lt;&gt;"OK","",IF(B124="INITIAL",'Case inputs'!D124+Assumptions!$B$10,IF(B124="RECON",'Case inputs'!D124+Assumptions!$B$11,EDATE('Case inputs'!D124,INT(D124))+ROUND(MOD(D124,1)*30.44,0))))</f>
        <v/>
      </c>
      <c r="G124" s="11" t="str">
        <f>IF(C124&lt;&gt;"OK","",IF(AND(B124="HEARING",'Case inputs'!F124&lt;&gt;"",'Case inputs'!F124&gt;=Assumptions!$B$5),"SCHEDULED",IF('Case inputs'!G124&lt;&gt;"","REVIEWED OVERRIDE",IF(F124&lt;Assumptions!$B$5,"OVERDUE: FUTURE WINDOW","BENCHMARK SCENARIO"))))</f>
        <v/>
      </c>
      <c r="H124" s="15" t="str">
        <f>IF(C124&lt;&gt;"OK","",IF(G124="SCHEDULED",'Case inputs'!F124,IF('Case inputs'!G124&lt;&gt;"",'Case inputs'!G124,IF(F124&lt;Assumptions!$B$5,EDATE(Assumptions!$B$5,Assumptions!$B$17),F124))))</f>
        <v/>
      </c>
      <c r="I124" s="16" t="str">
        <f t="shared" si="6"/>
        <v/>
      </c>
      <c r="J124" s="15" t="str">
        <f>IF(C124&lt;&gt;"OK","",IF(B124="INITIAL",EDATE(I124,Assumptions!$B$12)+Assumptions!$B$11,IF(B124="RECON",H124,"")))</f>
        <v/>
      </c>
      <c r="K124" s="15" t="str">
        <f>IF(C124&lt;&gt;"OK","",IF(B124="HEARING",'Case inputs'!D124,EDATE(J124,Assumptions!$B$13)))</f>
        <v/>
      </c>
      <c r="L124" s="15" t="str">
        <f>IF(C124&lt;&gt;"OK","",IF(G124="SCHEDULED",H124,EDATE(IF(B124="HEARING",H124,EDATE(K124,INT(D124))+ROUND(MOD(D124,1)*30.44,0)),Assumptions!$B$18)))</f>
        <v/>
      </c>
      <c r="M124" s="15" t="str">
        <f>IF(C124&lt;&gt;"OK","",EDATE(L124,Assumptions!$B$15))</f>
        <v/>
      </c>
      <c r="N124" s="17" t="str">
        <f>IF(C124&lt;&gt;"OK","",IF(B124="INITIAL",Assumptions!$B$21,0))</f>
        <v/>
      </c>
      <c r="O124" s="17" t="str">
        <f>IF(C124&lt;&gt;"OK","",IF(B124="INITIAL",(1-Assumptions!$B$21)*Assumptions!$B$24*Assumptions!$B$22,IF(B124="RECON",Assumptions!$B$22,0)))</f>
        <v/>
      </c>
      <c r="P124" s="17" t="str">
        <f>IF(C124&lt;&gt;"OK","",IF(B124="INITIAL",(1-Assumptions!$B$21)*Assumptions!$B$24*(1-Assumptions!$B$22)*Assumptions!$B$25,IF(B124="RECON",(1-Assumptions!$B$22)*Assumptions!$B$25,1)))</f>
        <v/>
      </c>
      <c r="Q124" s="17" t="str">
        <f>IF(C124&lt;&gt;"OK","",IF(B124="INITIAL",(1-Assumptions!$B$21)*(1-Assumptions!$B$24),0))</f>
        <v/>
      </c>
      <c r="R124" s="17" t="str">
        <f>IF(C124&lt;&gt;"OK","",IF(B124="INITIAL",(1-Assumptions!$B$21)*Assumptions!$B$24*(1-Assumptions!$B$22)*(1-Assumptions!$B$25),IF(B124="RECON",(1-Assumptions!$B$22)*(1-Assumptions!$B$25),0)))</f>
        <v/>
      </c>
      <c r="S124" s="17" t="str">
        <f>IF(C124&lt;&gt;"OK","",P124*Assumptions!$B$23)</f>
        <v/>
      </c>
      <c r="T124" s="17" t="str">
        <f>IF(C124&lt;&gt;"OK","",P124*(1-Assumptions!$B$23))</f>
        <v/>
      </c>
      <c r="U124" s="18" t="str">
        <f t="shared" si="7"/>
        <v/>
      </c>
      <c r="V124" s="15" t="str">
        <f>IF(C124&lt;&gt;"OK","",IF(B124="INITIAL",EDATE(I124,Assumptions!$B$14),""))</f>
        <v/>
      </c>
      <c r="W124" s="15" t="str">
        <f>IF(C124&lt;&gt;"OK","",IF(B124="HEARING","",EDATE(J124,Assumptions!$B$14)))</f>
        <v/>
      </c>
      <c r="X124" s="15" t="str">
        <f>IF(C124&lt;&gt;"OK","",EDATE(M124,Assumptions!$B$16))</f>
        <v/>
      </c>
    </row>
    <row r="125" spans="1:24" ht="22" customHeight="1">
      <c r="A125" s="11" t="str">
        <f>IF('Case inputs'!A125="","",'Case inputs'!A125)</f>
        <v/>
      </c>
      <c r="B125" s="11" t="str">
        <f>IF(A125="","",'Case inputs'!C125)</f>
        <v/>
      </c>
      <c r="C125" s="11" t="str">
        <f>IF('Case inputs'!I125="","",IF(Assumptions!$B$38&lt;&gt;"OK","ASSUMPTIONS INVALID",'Case inputs'!I125))</f>
        <v/>
      </c>
      <c r="D125" s="11" t="str">
        <f>IF(C125&lt;&gt;"OK","",VLOOKUP('Case inputs'!E125,Benchmarks!$A$6:$C$164,3,FALSE))</f>
        <v/>
      </c>
      <c r="E125" s="11" t="str">
        <f>IF(C125&lt;&gt;"OK","",Assumptions!$B$5-'Case inputs'!D125)</f>
        <v/>
      </c>
      <c r="F125" s="15" t="str">
        <f>IF(C125&lt;&gt;"OK","",IF(B125="INITIAL",'Case inputs'!D125+Assumptions!$B$10,IF(B125="RECON",'Case inputs'!D125+Assumptions!$B$11,EDATE('Case inputs'!D125,INT(D125))+ROUND(MOD(D125,1)*30.44,0))))</f>
        <v/>
      </c>
      <c r="G125" s="11" t="str">
        <f>IF(C125&lt;&gt;"OK","",IF(AND(B125="HEARING",'Case inputs'!F125&lt;&gt;"",'Case inputs'!F125&gt;=Assumptions!$B$5),"SCHEDULED",IF('Case inputs'!G125&lt;&gt;"","REVIEWED OVERRIDE",IF(F125&lt;Assumptions!$B$5,"OVERDUE: FUTURE WINDOW","BENCHMARK SCENARIO"))))</f>
        <v/>
      </c>
      <c r="H125" s="15" t="str">
        <f>IF(C125&lt;&gt;"OK","",IF(G125="SCHEDULED",'Case inputs'!F125,IF('Case inputs'!G125&lt;&gt;"",'Case inputs'!G125,IF(F125&lt;Assumptions!$B$5,EDATE(Assumptions!$B$5,Assumptions!$B$17),F125))))</f>
        <v/>
      </c>
      <c r="I125" s="16" t="str">
        <f t="shared" si="6"/>
        <v/>
      </c>
      <c r="J125" s="15" t="str">
        <f>IF(C125&lt;&gt;"OK","",IF(B125="INITIAL",EDATE(I125,Assumptions!$B$12)+Assumptions!$B$11,IF(B125="RECON",H125,"")))</f>
        <v/>
      </c>
      <c r="K125" s="15" t="str">
        <f>IF(C125&lt;&gt;"OK","",IF(B125="HEARING",'Case inputs'!D125,EDATE(J125,Assumptions!$B$13)))</f>
        <v/>
      </c>
      <c r="L125" s="15" t="str">
        <f>IF(C125&lt;&gt;"OK","",IF(G125="SCHEDULED",H125,EDATE(IF(B125="HEARING",H125,EDATE(K125,INT(D125))+ROUND(MOD(D125,1)*30.44,0)),Assumptions!$B$18)))</f>
        <v/>
      </c>
      <c r="M125" s="15" t="str">
        <f>IF(C125&lt;&gt;"OK","",EDATE(L125,Assumptions!$B$15))</f>
        <v/>
      </c>
      <c r="N125" s="17" t="str">
        <f>IF(C125&lt;&gt;"OK","",IF(B125="INITIAL",Assumptions!$B$21,0))</f>
        <v/>
      </c>
      <c r="O125" s="17" t="str">
        <f>IF(C125&lt;&gt;"OK","",IF(B125="INITIAL",(1-Assumptions!$B$21)*Assumptions!$B$24*Assumptions!$B$22,IF(B125="RECON",Assumptions!$B$22,0)))</f>
        <v/>
      </c>
      <c r="P125" s="17" t="str">
        <f>IF(C125&lt;&gt;"OK","",IF(B125="INITIAL",(1-Assumptions!$B$21)*Assumptions!$B$24*(1-Assumptions!$B$22)*Assumptions!$B$25,IF(B125="RECON",(1-Assumptions!$B$22)*Assumptions!$B$25,1)))</f>
        <v/>
      </c>
      <c r="Q125" s="17" t="str">
        <f>IF(C125&lt;&gt;"OK","",IF(B125="INITIAL",(1-Assumptions!$B$21)*(1-Assumptions!$B$24),0))</f>
        <v/>
      </c>
      <c r="R125" s="17" t="str">
        <f>IF(C125&lt;&gt;"OK","",IF(B125="INITIAL",(1-Assumptions!$B$21)*Assumptions!$B$24*(1-Assumptions!$B$22)*(1-Assumptions!$B$25),IF(B125="RECON",(1-Assumptions!$B$22)*(1-Assumptions!$B$25),0)))</f>
        <v/>
      </c>
      <c r="S125" s="17" t="str">
        <f>IF(C125&lt;&gt;"OK","",P125*Assumptions!$B$23)</f>
        <v/>
      </c>
      <c r="T125" s="17" t="str">
        <f>IF(C125&lt;&gt;"OK","",P125*(1-Assumptions!$B$23))</f>
        <v/>
      </c>
      <c r="U125" s="18" t="str">
        <f t="shared" si="7"/>
        <v/>
      </c>
      <c r="V125" s="15" t="str">
        <f>IF(C125&lt;&gt;"OK","",IF(B125="INITIAL",EDATE(I125,Assumptions!$B$14),""))</f>
        <v/>
      </c>
      <c r="W125" s="15" t="str">
        <f>IF(C125&lt;&gt;"OK","",IF(B125="HEARING","",EDATE(J125,Assumptions!$B$14)))</f>
        <v/>
      </c>
      <c r="X125" s="15" t="str">
        <f>IF(C125&lt;&gt;"OK","",EDATE(M125,Assumptions!$B$16))</f>
        <v/>
      </c>
    </row>
    <row r="126" spans="1:24" ht="22" customHeight="1">
      <c r="A126" s="11" t="str">
        <f>IF('Case inputs'!A126="","",'Case inputs'!A126)</f>
        <v/>
      </c>
      <c r="B126" s="11" t="str">
        <f>IF(A126="","",'Case inputs'!C126)</f>
        <v/>
      </c>
      <c r="C126" s="11" t="str">
        <f>IF('Case inputs'!I126="","",IF(Assumptions!$B$38&lt;&gt;"OK","ASSUMPTIONS INVALID",'Case inputs'!I126))</f>
        <v/>
      </c>
      <c r="D126" s="11" t="str">
        <f>IF(C126&lt;&gt;"OK","",VLOOKUP('Case inputs'!E126,Benchmarks!$A$6:$C$164,3,FALSE))</f>
        <v/>
      </c>
      <c r="E126" s="11" t="str">
        <f>IF(C126&lt;&gt;"OK","",Assumptions!$B$5-'Case inputs'!D126)</f>
        <v/>
      </c>
      <c r="F126" s="15" t="str">
        <f>IF(C126&lt;&gt;"OK","",IF(B126="INITIAL",'Case inputs'!D126+Assumptions!$B$10,IF(B126="RECON",'Case inputs'!D126+Assumptions!$B$11,EDATE('Case inputs'!D126,INT(D126))+ROUND(MOD(D126,1)*30.44,0))))</f>
        <v/>
      </c>
      <c r="G126" s="11" t="str">
        <f>IF(C126&lt;&gt;"OK","",IF(AND(B126="HEARING",'Case inputs'!F126&lt;&gt;"",'Case inputs'!F126&gt;=Assumptions!$B$5),"SCHEDULED",IF('Case inputs'!G126&lt;&gt;"","REVIEWED OVERRIDE",IF(F126&lt;Assumptions!$B$5,"OVERDUE: FUTURE WINDOW","BENCHMARK SCENARIO"))))</f>
        <v/>
      </c>
      <c r="H126" s="15" t="str">
        <f>IF(C126&lt;&gt;"OK","",IF(G126="SCHEDULED",'Case inputs'!F126,IF('Case inputs'!G126&lt;&gt;"",'Case inputs'!G126,IF(F126&lt;Assumptions!$B$5,EDATE(Assumptions!$B$5,Assumptions!$B$17),F126))))</f>
        <v/>
      </c>
      <c r="I126" s="16" t="str">
        <f t="shared" si="6"/>
        <v/>
      </c>
      <c r="J126" s="15" t="str">
        <f>IF(C126&lt;&gt;"OK","",IF(B126="INITIAL",EDATE(I126,Assumptions!$B$12)+Assumptions!$B$11,IF(B126="RECON",H126,"")))</f>
        <v/>
      </c>
      <c r="K126" s="15" t="str">
        <f>IF(C126&lt;&gt;"OK","",IF(B126="HEARING",'Case inputs'!D126,EDATE(J126,Assumptions!$B$13)))</f>
        <v/>
      </c>
      <c r="L126" s="15" t="str">
        <f>IF(C126&lt;&gt;"OK","",IF(G126="SCHEDULED",H126,EDATE(IF(B126="HEARING",H126,EDATE(K126,INT(D126))+ROUND(MOD(D126,1)*30.44,0)),Assumptions!$B$18)))</f>
        <v/>
      </c>
      <c r="M126" s="15" t="str">
        <f>IF(C126&lt;&gt;"OK","",EDATE(L126,Assumptions!$B$15))</f>
        <v/>
      </c>
      <c r="N126" s="17" t="str">
        <f>IF(C126&lt;&gt;"OK","",IF(B126="INITIAL",Assumptions!$B$21,0))</f>
        <v/>
      </c>
      <c r="O126" s="17" t="str">
        <f>IF(C126&lt;&gt;"OK","",IF(B126="INITIAL",(1-Assumptions!$B$21)*Assumptions!$B$24*Assumptions!$B$22,IF(B126="RECON",Assumptions!$B$22,0)))</f>
        <v/>
      </c>
      <c r="P126" s="17" t="str">
        <f>IF(C126&lt;&gt;"OK","",IF(B126="INITIAL",(1-Assumptions!$B$21)*Assumptions!$B$24*(1-Assumptions!$B$22)*Assumptions!$B$25,IF(B126="RECON",(1-Assumptions!$B$22)*Assumptions!$B$25,1)))</f>
        <v/>
      </c>
      <c r="Q126" s="17" t="str">
        <f>IF(C126&lt;&gt;"OK","",IF(B126="INITIAL",(1-Assumptions!$B$21)*(1-Assumptions!$B$24),0))</f>
        <v/>
      </c>
      <c r="R126" s="17" t="str">
        <f>IF(C126&lt;&gt;"OK","",IF(B126="INITIAL",(1-Assumptions!$B$21)*Assumptions!$B$24*(1-Assumptions!$B$22)*(1-Assumptions!$B$25),IF(B126="RECON",(1-Assumptions!$B$22)*(1-Assumptions!$B$25),0)))</f>
        <v/>
      </c>
      <c r="S126" s="17" t="str">
        <f>IF(C126&lt;&gt;"OK","",P126*Assumptions!$B$23)</f>
        <v/>
      </c>
      <c r="T126" s="17" t="str">
        <f>IF(C126&lt;&gt;"OK","",P126*(1-Assumptions!$B$23))</f>
        <v/>
      </c>
      <c r="U126" s="18" t="str">
        <f t="shared" si="7"/>
        <v/>
      </c>
      <c r="V126" s="15" t="str">
        <f>IF(C126&lt;&gt;"OK","",IF(B126="INITIAL",EDATE(I126,Assumptions!$B$14),""))</f>
        <v/>
      </c>
      <c r="W126" s="15" t="str">
        <f>IF(C126&lt;&gt;"OK","",IF(B126="HEARING","",EDATE(J126,Assumptions!$B$14)))</f>
        <v/>
      </c>
      <c r="X126" s="15" t="str">
        <f>IF(C126&lt;&gt;"OK","",EDATE(M126,Assumptions!$B$16))</f>
        <v/>
      </c>
    </row>
    <row r="127" spans="1:24" ht="22" customHeight="1">
      <c r="A127" s="11" t="str">
        <f>IF('Case inputs'!A127="","",'Case inputs'!A127)</f>
        <v/>
      </c>
      <c r="B127" s="11" t="str">
        <f>IF(A127="","",'Case inputs'!C127)</f>
        <v/>
      </c>
      <c r="C127" s="11" t="str">
        <f>IF('Case inputs'!I127="","",IF(Assumptions!$B$38&lt;&gt;"OK","ASSUMPTIONS INVALID",'Case inputs'!I127))</f>
        <v/>
      </c>
      <c r="D127" s="11" t="str">
        <f>IF(C127&lt;&gt;"OK","",VLOOKUP('Case inputs'!E127,Benchmarks!$A$6:$C$164,3,FALSE))</f>
        <v/>
      </c>
      <c r="E127" s="11" t="str">
        <f>IF(C127&lt;&gt;"OK","",Assumptions!$B$5-'Case inputs'!D127)</f>
        <v/>
      </c>
      <c r="F127" s="15" t="str">
        <f>IF(C127&lt;&gt;"OK","",IF(B127="INITIAL",'Case inputs'!D127+Assumptions!$B$10,IF(B127="RECON",'Case inputs'!D127+Assumptions!$B$11,EDATE('Case inputs'!D127,INT(D127))+ROUND(MOD(D127,1)*30.44,0))))</f>
        <v/>
      </c>
      <c r="G127" s="11" t="str">
        <f>IF(C127&lt;&gt;"OK","",IF(AND(B127="HEARING",'Case inputs'!F127&lt;&gt;"",'Case inputs'!F127&gt;=Assumptions!$B$5),"SCHEDULED",IF('Case inputs'!G127&lt;&gt;"","REVIEWED OVERRIDE",IF(F127&lt;Assumptions!$B$5,"OVERDUE: FUTURE WINDOW","BENCHMARK SCENARIO"))))</f>
        <v/>
      </c>
      <c r="H127" s="15" t="str">
        <f>IF(C127&lt;&gt;"OK","",IF(G127="SCHEDULED",'Case inputs'!F127,IF('Case inputs'!G127&lt;&gt;"",'Case inputs'!G127,IF(F127&lt;Assumptions!$B$5,EDATE(Assumptions!$B$5,Assumptions!$B$17),F127))))</f>
        <v/>
      </c>
      <c r="I127" s="16" t="str">
        <f t="shared" si="6"/>
        <v/>
      </c>
      <c r="J127" s="15" t="str">
        <f>IF(C127&lt;&gt;"OK","",IF(B127="INITIAL",EDATE(I127,Assumptions!$B$12)+Assumptions!$B$11,IF(B127="RECON",H127,"")))</f>
        <v/>
      </c>
      <c r="K127" s="15" t="str">
        <f>IF(C127&lt;&gt;"OK","",IF(B127="HEARING",'Case inputs'!D127,EDATE(J127,Assumptions!$B$13)))</f>
        <v/>
      </c>
      <c r="L127" s="15" t="str">
        <f>IF(C127&lt;&gt;"OK","",IF(G127="SCHEDULED",H127,EDATE(IF(B127="HEARING",H127,EDATE(K127,INT(D127))+ROUND(MOD(D127,1)*30.44,0)),Assumptions!$B$18)))</f>
        <v/>
      </c>
      <c r="M127" s="15" t="str">
        <f>IF(C127&lt;&gt;"OK","",EDATE(L127,Assumptions!$B$15))</f>
        <v/>
      </c>
      <c r="N127" s="17" t="str">
        <f>IF(C127&lt;&gt;"OK","",IF(B127="INITIAL",Assumptions!$B$21,0))</f>
        <v/>
      </c>
      <c r="O127" s="17" t="str">
        <f>IF(C127&lt;&gt;"OK","",IF(B127="INITIAL",(1-Assumptions!$B$21)*Assumptions!$B$24*Assumptions!$B$22,IF(B127="RECON",Assumptions!$B$22,0)))</f>
        <v/>
      </c>
      <c r="P127" s="17" t="str">
        <f>IF(C127&lt;&gt;"OK","",IF(B127="INITIAL",(1-Assumptions!$B$21)*Assumptions!$B$24*(1-Assumptions!$B$22)*Assumptions!$B$25,IF(B127="RECON",(1-Assumptions!$B$22)*Assumptions!$B$25,1)))</f>
        <v/>
      </c>
      <c r="Q127" s="17" t="str">
        <f>IF(C127&lt;&gt;"OK","",IF(B127="INITIAL",(1-Assumptions!$B$21)*(1-Assumptions!$B$24),0))</f>
        <v/>
      </c>
      <c r="R127" s="17" t="str">
        <f>IF(C127&lt;&gt;"OK","",IF(B127="INITIAL",(1-Assumptions!$B$21)*Assumptions!$B$24*(1-Assumptions!$B$22)*(1-Assumptions!$B$25),IF(B127="RECON",(1-Assumptions!$B$22)*(1-Assumptions!$B$25),0)))</f>
        <v/>
      </c>
      <c r="S127" s="17" t="str">
        <f>IF(C127&lt;&gt;"OK","",P127*Assumptions!$B$23)</f>
        <v/>
      </c>
      <c r="T127" s="17" t="str">
        <f>IF(C127&lt;&gt;"OK","",P127*(1-Assumptions!$B$23))</f>
        <v/>
      </c>
      <c r="U127" s="18" t="str">
        <f t="shared" si="7"/>
        <v/>
      </c>
      <c r="V127" s="15" t="str">
        <f>IF(C127&lt;&gt;"OK","",IF(B127="INITIAL",EDATE(I127,Assumptions!$B$14),""))</f>
        <v/>
      </c>
      <c r="W127" s="15" t="str">
        <f>IF(C127&lt;&gt;"OK","",IF(B127="HEARING","",EDATE(J127,Assumptions!$B$14)))</f>
        <v/>
      </c>
      <c r="X127" s="15" t="str">
        <f>IF(C127&lt;&gt;"OK","",EDATE(M127,Assumptions!$B$16))</f>
        <v/>
      </c>
    </row>
    <row r="128" spans="1:24" ht="22" customHeight="1">
      <c r="A128" s="11" t="str">
        <f>IF('Case inputs'!A128="","",'Case inputs'!A128)</f>
        <v/>
      </c>
      <c r="B128" s="11" t="str">
        <f>IF(A128="","",'Case inputs'!C128)</f>
        <v/>
      </c>
      <c r="C128" s="11" t="str">
        <f>IF('Case inputs'!I128="","",IF(Assumptions!$B$38&lt;&gt;"OK","ASSUMPTIONS INVALID",'Case inputs'!I128))</f>
        <v/>
      </c>
      <c r="D128" s="11" t="str">
        <f>IF(C128&lt;&gt;"OK","",VLOOKUP('Case inputs'!E128,Benchmarks!$A$6:$C$164,3,FALSE))</f>
        <v/>
      </c>
      <c r="E128" s="11" t="str">
        <f>IF(C128&lt;&gt;"OK","",Assumptions!$B$5-'Case inputs'!D128)</f>
        <v/>
      </c>
      <c r="F128" s="15" t="str">
        <f>IF(C128&lt;&gt;"OK","",IF(B128="INITIAL",'Case inputs'!D128+Assumptions!$B$10,IF(B128="RECON",'Case inputs'!D128+Assumptions!$B$11,EDATE('Case inputs'!D128,INT(D128))+ROUND(MOD(D128,1)*30.44,0))))</f>
        <v/>
      </c>
      <c r="G128" s="11" t="str">
        <f>IF(C128&lt;&gt;"OK","",IF(AND(B128="HEARING",'Case inputs'!F128&lt;&gt;"",'Case inputs'!F128&gt;=Assumptions!$B$5),"SCHEDULED",IF('Case inputs'!G128&lt;&gt;"","REVIEWED OVERRIDE",IF(F128&lt;Assumptions!$B$5,"OVERDUE: FUTURE WINDOW","BENCHMARK SCENARIO"))))</f>
        <v/>
      </c>
      <c r="H128" s="15" t="str">
        <f>IF(C128&lt;&gt;"OK","",IF(G128="SCHEDULED",'Case inputs'!F128,IF('Case inputs'!G128&lt;&gt;"",'Case inputs'!G128,IF(F128&lt;Assumptions!$B$5,EDATE(Assumptions!$B$5,Assumptions!$B$17),F128))))</f>
        <v/>
      </c>
      <c r="I128" s="16" t="str">
        <f t="shared" si="6"/>
        <v/>
      </c>
      <c r="J128" s="15" t="str">
        <f>IF(C128&lt;&gt;"OK","",IF(B128="INITIAL",EDATE(I128,Assumptions!$B$12)+Assumptions!$B$11,IF(B128="RECON",H128,"")))</f>
        <v/>
      </c>
      <c r="K128" s="15" t="str">
        <f>IF(C128&lt;&gt;"OK","",IF(B128="HEARING",'Case inputs'!D128,EDATE(J128,Assumptions!$B$13)))</f>
        <v/>
      </c>
      <c r="L128" s="15" t="str">
        <f>IF(C128&lt;&gt;"OK","",IF(G128="SCHEDULED",H128,EDATE(IF(B128="HEARING",H128,EDATE(K128,INT(D128))+ROUND(MOD(D128,1)*30.44,0)),Assumptions!$B$18)))</f>
        <v/>
      </c>
      <c r="M128" s="15" t="str">
        <f>IF(C128&lt;&gt;"OK","",EDATE(L128,Assumptions!$B$15))</f>
        <v/>
      </c>
      <c r="N128" s="17" t="str">
        <f>IF(C128&lt;&gt;"OK","",IF(B128="INITIAL",Assumptions!$B$21,0))</f>
        <v/>
      </c>
      <c r="O128" s="17" t="str">
        <f>IF(C128&lt;&gt;"OK","",IF(B128="INITIAL",(1-Assumptions!$B$21)*Assumptions!$B$24*Assumptions!$B$22,IF(B128="RECON",Assumptions!$B$22,0)))</f>
        <v/>
      </c>
      <c r="P128" s="17" t="str">
        <f>IF(C128&lt;&gt;"OK","",IF(B128="INITIAL",(1-Assumptions!$B$21)*Assumptions!$B$24*(1-Assumptions!$B$22)*Assumptions!$B$25,IF(B128="RECON",(1-Assumptions!$B$22)*Assumptions!$B$25,1)))</f>
        <v/>
      </c>
      <c r="Q128" s="17" t="str">
        <f>IF(C128&lt;&gt;"OK","",IF(B128="INITIAL",(1-Assumptions!$B$21)*(1-Assumptions!$B$24),0))</f>
        <v/>
      </c>
      <c r="R128" s="17" t="str">
        <f>IF(C128&lt;&gt;"OK","",IF(B128="INITIAL",(1-Assumptions!$B$21)*Assumptions!$B$24*(1-Assumptions!$B$22)*(1-Assumptions!$B$25),IF(B128="RECON",(1-Assumptions!$B$22)*(1-Assumptions!$B$25),0)))</f>
        <v/>
      </c>
      <c r="S128" s="17" t="str">
        <f>IF(C128&lt;&gt;"OK","",P128*Assumptions!$B$23)</f>
        <v/>
      </c>
      <c r="T128" s="17" t="str">
        <f>IF(C128&lt;&gt;"OK","",P128*(1-Assumptions!$B$23))</f>
        <v/>
      </c>
      <c r="U128" s="18" t="str">
        <f t="shared" si="7"/>
        <v/>
      </c>
      <c r="V128" s="15" t="str">
        <f>IF(C128&lt;&gt;"OK","",IF(B128="INITIAL",EDATE(I128,Assumptions!$B$14),""))</f>
        <v/>
      </c>
      <c r="W128" s="15" t="str">
        <f>IF(C128&lt;&gt;"OK","",IF(B128="HEARING","",EDATE(J128,Assumptions!$B$14)))</f>
        <v/>
      </c>
      <c r="X128" s="15" t="str">
        <f>IF(C128&lt;&gt;"OK","",EDATE(M128,Assumptions!$B$16))</f>
        <v/>
      </c>
    </row>
    <row r="129" spans="1:24" ht="22" customHeight="1">
      <c r="A129" s="11" t="str">
        <f>IF('Case inputs'!A129="","",'Case inputs'!A129)</f>
        <v/>
      </c>
      <c r="B129" s="11" t="str">
        <f>IF(A129="","",'Case inputs'!C129)</f>
        <v/>
      </c>
      <c r="C129" s="11" t="str">
        <f>IF('Case inputs'!I129="","",IF(Assumptions!$B$38&lt;&gt;"OK","ASSUMPTIONS INVALID",'Case inputs'!I129))</f>
        <v/>
      </c>
      <c r="D129" s="11" t="str">
        <f>IF(C129&lt;&gt;"OK","",VLOOKUP('Case inputs'!E129,Benchmarks!$A$6:$C$164,3,FALSE))</f>
        <v/>
      </c>
      <c r="E129" s="11" t="str">
        <f>IF(C129&lt;&gt;"OK","",Assumptions!$B$5-'Case inputs'!D129)</f>
        <v/>
      </c>
      <c r="F129" s="15" t="str">
        <f>IF(C129&lt;&gt;"OK","",IF(B129="INITIAL",'Case inputs'!D129+Assumptions!$B$10,IF(B129="RECON",'Case inputs'!D129+Assumptions!$B$11,EDATE('Case inputs'!D129,INT(D129))+ROUND(MOD(D129,1)*30.44,0))))</f>
        <v/>
      </c>
      <c r="G129" s="11" t="str">
        <f>IF(C129&lt;&gt;"OK","",IF(AND(B129="HEARING",'Case inputs'!F129&lt;&gt;"",'Case inputs'!F129&gt;=Assumptions!$B$5),"SCHEDULED",IF('Case inputs'!G129&lt;&gt;"","REVIEWED OVERRIDE",IF(F129&lt;Assumptions!$B$5,"OVERDUE: FUTURE WINDOW","BENCHMARK SCENARIO"))))</f>
        <v/>
      </c>
      <c r="H129" s="15" t="str">
        <f>IF(C129&lt;&gt;"OK","",IF(G129="SCHEDULED",'Case inputs'!F129,IF('Case inputs'!G129&lt;&gt;"",'Case inputs'!G129,IF(F129&lt;Assumptions!$B$5,EDATE(Assumptions!$B$5,Assumptions!$B$17),F129))))</f>
        <v/>
      </c>
      <c r="I129" s="16" t="str">
        <f t="shared" si="6"/>
        <v/>
      </c>
      <c r="J129" s="15" t="str">
        <f>IF(C129&lt;&gt;"OK","",IF(B129="INITIAL",EDATE(I129,Assumptions!$B$12)+Assumptions!$B$11,IF(B129="RECON",H129,"")))</f>
        <v/>
      </c>
      <c r="K129" s="15" t="str">
        <f>IF(C129&lt;&gt;"OK","",IF(B129="HEARING",'Case inputs'!D129,EDATE(J129,Assumptions!$B$13)))</f>
        <v/>
      </c>
      <c r="L129" s="15" t="str">
        <f>IF(C129&lt;&gt;"OK","",IF(G129="SCHEDULED",H129,EDATE(IF(B129="HEARING",H129,EDATE(K129,INT(D129))+ROUND(MOD(D129,1)*30.44,0)),Assumptions!$B$18)))</f>
        <v/>
      </c>
      <c r="M129" s="15" t="str">
        <f>IF(C129&lt;&gt;"OK","",EDATE(L129,Assumptions!$B$15))</f>
        <v/>
      </c>
      <c r="N129" s="17" t="str">
        <f>IF(C129&lt;&gt;"OK","",IF(B129="INITIAL",Assumptions!$B$21,0))</f>
        <v/>
      </c>
      <c r="O129" s="17" t="str">
        <f>IF(C129&lt;&gt;"OK","",IF(B129="INITIAL",(1-Assumptions!$B$21)*Assumptions!$B$24*Assumptions!$B$22,IF(B129="RECON",Assumptions!$B$22,0)))</f>
        <v/>
      </c>
      <c r="P129" s="17" t="str">
        <f>IF(C129&lt;&gt;"OK","",IF(B129="INITIAL",(1-Assumptions!$B$21)*Assumptions!$B$24*(1-Assumptions!$B$22)*Assumptions!$B$25,IF(B129="RECON",(1-Assumptions!$B$22)*Assumptions!$B$25,1)))</f>
        <v/>
      </c>
      <c r="Q129" s="17" t="str">
        <f>IF(C129&lt;&gt;"OK","",IF(B129="INITIAL",(1-Assumptions!$B$21)*(1-Assumptions!$B$24),0))</f>
        <v/>
      </c>
      <c r="R129" s="17" t="str">
        <f>IF(C129&lt;&gt;"OK","",IF(B129="INITIAL",(1-Assumptions!$B$21)*Assumptions!$B$24*(1-Assumptions!$B$22)*(1-Assumptions!$B$25),IF(B129="RECON",(1-Assumptions!$B$22)*(1-Assumptions!$B$25),0)))</f>
        <v/>
      </c>
      <c r="S129" s="17" t="str">
        <f>IF(C129&lt;&gt;"OK","",P129*Assumptions!$B$23)</f>
        <v/>
      </c>
      <c r="T129" s="17" t="str">
        <f>IF(C129&lt;&gt;"OK","",P129*(1-Assumptions!$B$23))</f>
        <v/>
      </c>
      <c r="U129" s="18" t="str">
        <f t="shared" si="7"/>
        <v/>
      </c>
      <c r="V129" s="15" t="str">
        <f>IF(C129&lt;&gt;"OK","",IF(B129="INITIAL",EDATE(I129,Assumptions!$B$14),""))</f>
        <v/>
      </c>
      <c r="W129" s="15" t="str">
        <f>IF(C129&lt;&gt;"OK","",IF(B129="HEARING","",EDATE(J129,Assumptions!$B$14)))</f>
        <v/>
      </c>
      <c r="X129" s="15" t="str">
        <f>IF(C129&lt;&gt;"OK","",EDATE(M129,Assumptions!$B$16))</f>
        <v/>
      </c>
    </row>
    <row r="130" spans="1:24" ht="22" customHeight="1">
      <c r="A130" s="11" t="str">
        <f>IF('Case inputs'!A130="","",'Case inputs'!A130)</f>
        <v/>
      </c>
      <c r="B130" s="11" t="str">
        <f>IF(A130="","",'Case inputs'!C130)</f>
        <v/>
      </c>
      <c r="C130" s="11" t="str">
        <f>IF('Case inputs'!I130="","",IF(Assumptions!$B$38&lt;&gt;"OK","ASSUMPTIONS INVALID",'Case inputs'!I130))</f>
        <v/>
      </c>
      <c r="D130" s="11" t="str">
        <f>IF(C130&lt;&gt;"OK","",VLOOKUP('Case inputs'!E130,Benchmarks!$A$6:$C$164,3,FALSE))</f>
        <v/>
      </c>
      <c r="E130" s="11" t="str">
        <f>IF(C130&lt;&gt;"OK","",Assumptions!$B$5-'Case inputs'!D130)</f>
        <v/>
      </c>
      <c r="F130" s="15" t="str">
        <f>IF(C130&lt;&gt;"OK","",IF(B130="INITIAL",'Case inputs'!D130+Assumptions!$B$10,IF(B130="RECON",'Case inputs'!D130+Assumptions!$B$11,EDATE('Case inputs'!D130,INT(D130))+ROUND(MOD(D130,1)*30.44,0))))</f>
        <v/>
      </c>
      <c r="G130" s="11" t="str">
        <f>IF(C130&lt;&gt;"OK","",IF(AND(B130="HEARING",'Case inputs'!F130&lt;&gt;"",'Case inputs'!F130&gt;=Assumptions!$B$5),"SCHEDULED",IF('Case inputs'!G130&lt;&gt;"","REVIEWED OVERRIDE",IF(F130&lt;Assumptions!$B$5,"OVERDUE: FUTURE WINDOW","BENCHMARK SCENARIO"))))</f>
        <v/>
      </c>
      <c r="H130" s="15" t="str">
        <f>IF(C130&lt;&gt;"OK","",IF(G130="SCHEDULED",'Case inputs'!F130,IF('Case inputs'!G130&lt;&gt;"",'Case inputs'!G130,IF(F130&lt;Assumptions!$B$5,EDATE(Assumptions!$B$5,Assumptions!$B$17),F130))))</f>
        <v/>
      </c>
      <c r="I130" s="16" t="str">
        <f t="shared" si="6"/>
        <v/>
      </c>
      <c r="J130" s="15" t="str">
        <f>IF(C130&lt;&gt;"OK","",IF(B130="INITIAL",EDATE(I130,Assumptions!$B$12)+Assumptions!$B$11,IF(B130="RECON",H130,"")))</f>
        <v/>
      </c>
      <c r="K130" s="15" t="str">
        <f>IF(C130&lt;&gt;"OK","",IF(B130="HEARING",'Case inputs'!D130,EDATE(J130,Assumptions!$B$13)))</f>
        <v/>
      </c>
      <c r="L130" s="15" t="str">
        <f>IF(C130&lt;&gt;"OK","",IF(G130="SCHEDULED",H130,EDATE(IF(B130="HEARING",H130,EDATE(K130,INT(D130))+ROUND(MOD(D130,1)*30.44,0)),Assumptions!$B$18)))</f>
        <v/>
      </c>
      <c r="M130" s="15" t="str">
        <f>IF(C130&lt;&gt;"OK","",EDATE(L130,Assumptions!$B$15))</f>
        <v/>
      </c>
      <c r="N130" s="17" t="str">
        <f>IF(C130&lt;&gt;"OK","",IF(B130="INITIAL",Assumptions!$B$21,0))</f>
        <v/>
      </c>
      <c r="O130" s="17" t="str">
        <f>IF(C130&lt;&gt;"OK","",IF(B130="INITIAL",(1-Assumptions!$B$21)*Assumptions!$B$24*Assumptions!$B$22,IF(B130="RECON",Assumptions!$B$22,0)))</f>
        <v/>
      </c>
      <c r="P130" s="17" t="str">
        <f>IF(C130&lt;&gt;"OK","",IF(B130="INITIAL",(1-Assumptions!$B$21)*Assumptions!$B$24*(1-Assumptions!$B$22)*Assumptions!$B$25,IF(B130="RECON",(1-Assumptions!$B$22)*Assumptions!$B$25,1)))</f>
        <v/>
      </c>
      <c r="Q130" s="17" t="str">
        <f>IF(C130&lt;&gt;"OK","",IF(B130="INITIAL",(1-Assumptions!$B$21)*(1-Assumptions!$B$24),0))</f>
        <v/>
      </c>
      <c r="R130" s="17" t="str">
        <f>IF(C130&lt;&gt;"OK","",IF(B130="INITIAL",(1-Assumptions!$B$21)*Assumptions!$B$24*(1-Assumptions!$B$22)*(1-Assumptions!$B$25),IF(B130="RECON",(1-Assumptions!$B$22)*(1-Assumptions!$B$25),0)))</f>
        <v/>
      </c>
      <c r="S130" s="17" t="str">
        <f>IF(C130&lt;&gt;"OK","",P130*Assumptions!$B$23)</f>
        <v/>
      </c>
      <c r="T130" s="17" t="str">
        <f>IF(C130&lt;&gt;"OK","",P130*(1-Assumptions!$B$23))</f>
        <v/>
      </c>
      <c r="U130" s="18" t="str">
        <f t="shared" si="7"/>
        <v/>
      </c>
      <c r="V130" s="15" t="str">
        <f>IF(C130&lt;&gt;"OK","",IF(B130="INITIAL",EDATE(I130,Assumptions!$B$14),""))</f>
        <v/>
      </c>
      <c r="W130" s="15" t="str">
        <f>IF(C130&lt;&gt;"OK","",IF(B130="HEARING","",EDATE(J130,Assumptions!$B$14)))</f>
        <v/>
      </c>
      <c r="X130" s="15" t="str">
        <f>IF(C130&lt;&gt;"OK","",EDATE(M130,Assumptions!$B$16))</f>
        <v/>
      </c>
    </row>
    <row r="131" spans="1:24" ht="22" customHeight="1">
      <c r="A131" s="11" t="str">
        <f>IF('Case inputs'!A131="","",'Case inputs'!A131)</f>
        <v/>
      </c>
      <c r="B131" s="11" t="str">
        <f>IF(A131="","",'Case inputs'!C131)</f>
        <v/>
      </c>
      <c r="C131" s="11" t="str">
        <f>IF('Case inputs'!I131="","",IF(Assumptions!$B$38&lt;&gt;"OK","ASSUMPTIONS INVALID",'Case inputs'!I131))</f>
        <v/>
      </c>
      <c r="D131" s="11" t="str">
        <f>IF(C131&lt;&gt;"OK","",VLOOKUP('Case inputs'!E131,Benchmarks!$A$6:$C$164,3,FALSE))</f>
        <v/>
      </c>
      <c r="E131" s="11" t="str">
        <f>IF(C131&lt;&gt;"OK","",Assumptions!$B$5-'Case inputs'!D131)</f>
        <v/>
      </c>
      <c r="F131" s="15" t="str">
        <f>IF(C131&lt;&gt;"OK","",IF(B131="INITIAL",'Case inputs'!D131+Assumptions!$B$10,IF(B131="RECON",'Case inputs'!D131+Assumptions!$B$11,EDATE('Case inputs'!D131,INT(D131))+ROUND(MOD(D131,1)*30.44,0))))</f>
        <v/>
      </c>
      <c r="G131" s="11" t="str">
        <f>IF(C131&lt;&gt;"OK","",IF(AND(B131="HEARING",'Case inputs'!F131&lt;&gt;"",'Case inputs'!F131&gt;=Assumptions!$B$5),"SCHEDULED",IF('Case inputs'!G131&lt;&gt;"","REVIEWED OVERRIDE",IF(F131&lt;Assumptions!$B$5,"OVERDUE: FUTURE WINDOW","BENCHMARK SCENARIO"))))</f>
        <v/>
      </c>
      <c r="H131" s="15" t="str">
        <f>IF(C131&lt;&gt;"OK","",IF(G131="SCHEDULED",'Case inputs'!F131,IF('Case inputs'!G131&lt;&gt;"",'Case inputs'!G131,IF(F131&lt;Assumptions!$B$5,EDATE(Assumptions!$B$5,Assumptions!$B$17),F131))))</f>
        <v/>
      </c>
      <c r="I131" s="16" t="str">
        <f t="shared" si="6"/>
        <v/>
      </c>
      <c r="J131" s="15" t="str">
        <f>IF(C131&lt;&gt;"OK","",IF(B131="INITIAL",EDATE(I131,Assumptions!$B$12)+Assumptions!$B$11,IF(B131="RECON",H131,"")))</f>
        <v/>
      </c>
      <c r="K131" s="15" t="str">
        <f>IF(C131&lt;&gt;"OK","",IF(B131="HEARING",'Case inputs'!D131,EDATE(J131,Assumptions!$B$13)))</f>
        <v/>
      </c>
      <c r="L131" s="15" t="str">
        <f>IF(C131&lt;&gt;"OK","",IF(G131="SCHEDULED",H131,EDATE(IF(B131="HEARING",H131,EDATE(K131,INT(D131))+ROUND(MOD(D131,1)*30.44,0)),Assumptions!$B$18)))</f>
        <v/>
      </c>
      <c r="M131" s="15" t="str">
        <f>IF(C131&lt;&gt;"OK","",EDATE(L131,Assumptions!$B$15))</f>
        <v/>
      </c>
      <c r="N131" s="17" t="str">
        <f>IF(C131&lt;&gt;"OK","",IF(B131="INITIAL",Assumptions!$B$21,0))</f>
        <v/>
      </c>
      <c r="O131" s="17" t="str">
        <f>IF(C131&lt;&gt;"OK","",IF(B131="INITIAL",(1-Assumptions!$B$21)*Assumptions!$B$24*Assumptions!$B$22,IF(B131="RECON",Assumptions!$B$22,0)))</f>
        <v/>
      </c>
      <c r="P131" s="17" t="str">
        <f>IF(C131&lt;&gt;"OK","",IF(B131="INITIAL",(1-Assumptions!$B$21)*Assumptions!$B$24*(1-Assumptions!$B$22)*Assumptions!$B$25,IF(B131="RECON",(1-Assumptions!$B$22)*Assumptions!$B$25,1)))</f>
        <v/>
      </c>
      <c r="Q131" s="17" t="str">
        <f>IF(C131&lt;&gt;"OK","",IF(B131="INITIAL",(1-Assumptions!$B$21)*(1-Assumptions!$B$24),0))</f>
        <v/>
      </c>
      <c r="R131" s="17" t="str">
        <f>IF(C131&lt;&gt;"OK","",IF(B131="INITIAL",(1-Assumptions!$B$21)*Assumptions!$B$24*(1-Assumptions!$B$22)*(1-Assumptions!$B$25),IF(B131="RECON",(1-Assumptions!$B$22)*(1-Assumptions!$B$25),0)))</f>
        <v/>
      </c>
      <c r="S131" s="17" t="str">
        <f>IF(C131&lt;&gt;"OK","",P131*Assumptions!$B$23)</f>
        <v/>
      </c>
      <c r="T131" s="17" t="str">
        <f>IF(C131&lt;&gt;"OK","",P131*(1-Assumptions!$B$23))</f>
        <v/>
      </c>
      <c r="U131" s="18" t="str">
        <f t="shared" si="7"/>
        <v/>
      </c>
      <c r="V131" s="15" t="str">
        <f>IF(C131&lt;&gt;"OK","",IF(B131="INITIAL",EDATE(I131,Assumptions!$B$14),""))</f>
        <v/>
      </c>
      <c r="W131" s="15" t="str">
        <f>IF(C131&lt;&gt;"OK","",IF(B131="HEARING","",EDATE(J131,Assumptions!$B$14)))</f>
        <v/>
      </c>
      <c r="X131" s="15" t="str">
        <f>IF(C131&lt;&gt;"OK","",EDATE(M131,Assumptions!$B$16))</f>
        <v/>
      </c>
    </row>
    <row r="132" spans="1:24" ht="22" customHeight="1">
      <c r="A132" s="11" t="str">
        <f>IF('Case inputs'!A132="","",'Case inputs'!A132)</f>
        <v/>
      </c>
      <c r="B132" s="11" t="str">
        <f>IF(A132="","",'Case inputs'!C132)</f>
        <v/>
      </c>
      <c r="C132" s="11" t="str">
        <f>IF('Case inputs'!I132="","",IF(Assumptions!$B$38&lt;&gt;"OK","ASSUMPTIONS INVALID",'Case inputs'!I132))</f>
        <v/>
      </c>
      <c r="D132" s="11" t="str">
        <f>IF(C132&lt;&gt;"OK","",VLOOKUP('Case inputs'!E132,Benchmarks!$A$6:$C$164,3,FALSE))</f>
        <v/>
      </c>
      <c r="E132" s="11" t="str">
        <f>IF(C132&lt;&gt;"OK","",Assumptions!$B$5-'Case inputs'!D132)</f>
        <v/>
      </c>
      <c r="F132" s="15" t="str">
        <f>IF(C132&lt;&gt;"OK","",IF(B132="INITIAL",'Case inputs'!D132+Assumptions!$B$10,IF(B132="RECON",'Case inputs'!D132+Assumptions!$B$11,EDATE('Case inputs'!D132,INT(D132))+ROUND(MOD(D132,1)*30.44,0))))</f>
        <v/>
      </c>
      <c r="G132" s="11" t="str">
        <f>IF(C132&lt;&gt;"OK","",IF(AND(B132="HEARING",'Case inputs'!F132&lt;&gt;"",'Case inputs'!F132&gt;=Assumptions!$B$5),"SCHEDULED",IF('Case inputs'!G132&lt;&gt;"","REVIEWED OVERRIDE",IF(F132&lt;Assumptions!$B$5,"OVERDUE: FUTURE WINDOW","BENCHMARK SCENARIO"))))</f>
        <v/>
      </c>
      <c r="H132" s="15" t="str">
        <f>IF(C132&lt;&gt;"OK","",IF(G132="SCHEDULED",'Case inputs'!F132,IF('Case inputs'!G132&lt;&gt;"",'Case inputs'!G132,IF(F132&lt;Assumptions!$B$5,EDATE(Assumptions!$B$5,Assumptions!$B$17),F132))))</f>
        <v/>
      </c>
      <c r="I132" s="16" t="str">
        <f t="shared" si="6"/>
        <v/>
      </c>
      <c r="J132" s="15" t="str">
        <f>IF(C132&lt;&gt;"OK","",IF(B132="INITIAL",EDATE(I132,Assumptions!$B$12)+Assumptions!$B$11,IF(B132="RECON",H132,"")))</f>
        <v/>
      </c>
      <c r="K132" s="15" t="str">
        <f>IF(C132&lt;&gt;"OK","",IF(B132="HEARING",'Case inputs'!D132,EDATE(J132,Assumptions!$B$13)))</f>
        <v/>
      </c>
      <c r="L132" s="15" t="str">
        <f>IF(C132&lt;&gt;"OK","",IF(G132="SCHEDULED",H132,EDATE(IF(B132="HEARING",H132,EDATE(K132,INT(D132))+ROUND(MOD(D132,1)*30.44,0)),Assumptions!$B$18)))</f>
        <v/>
      </c>
      <c r="M132" s="15" t="str">
        <f>IF(C132&lt;&gt;"OK","",EDATE(L132,Assumptions!$B$15))</f>
        <v/>
      </c>
      <c r="N132" s="17" t="str">
        <f>IF(C132&lt;&gt;"OK","",IF(B132="INITIAL",Assumptions!$B$21,0))</f>
        <v/>
      </c>
      <c r="O132" s="17" t="str">
        <f>IF(C132&lt;&gt;"OK","",IF(B132="INITIAL",(1-Assumptions!$B$21)*Assumptions!$B$24*Assumptions!$B$22,IF(B132="RECON",Assumptions!$B$22,0)))</f>
        <v/>
      </c>
      <c r="P132" s="17" t="str">
        <f>IF(C132&lt;&gt;"OK","",IF(B132="INITIAL",(1-Assumptions!$B$21)*Assumptions!$B$24*(1-Assumptions!$B$22)*Assumptions!$B$25,IF(B132="RECON",(1-Assumptions!$B$22)*Assumptions!$B$25,1)))</f>
        <v/>
      </c>
      <c r="Q132" s="17" t="str">
        <f>IF(C132&lt;&gt;"OK","",IF(B132="INITIAL",(1-Assumptions!$B$21)*(1-Assumptions!$B$24),0))</f>
        <v/>
      </c>
      <c r="R132" s="17" t="str">
        <f>IF(C132&lt;&gt;"OK","",IF(B132="INITIAL",(1-Assumptions!$B$21)*Assumptions!$B$24*(1-Assumptions!$B$22)*(1-Assumptions!$B$25),IF(B132="RECON",(1-Assumptions!$B$22)*(1-Assumptions!$B$25),0)))</f>
        <v/>
      </c>
      <c r="S132" s="17" t="str">
        <f>IF(C132&lt;&gt;"OK","",P132*Assumptions!$B$23)</f>
        <v/>
      </c>
      <c r="T132" s="17" t="str">
        <f>IF(C132&lt;&gt;"OK","",P132*(1-Assumptions!$B$23))</f>
        <v/>
      </c>
      <c r="U132" s="18" t="str">
        <f t="shared" si="7"/>
        <v/>
      </c>
      <c r="V132" s="15" t="str">
        <f>IF(C132&lt;&gt;"OK","",IF(B132="INITIAL",EDATE(I132,Assumptions!$B$14),""))</f>
        <v/>
      </c>
      <c r="W132" s="15" t="str">
        <f>IF(C132&lt;&gt;"OK","",IF(B132="HEARING","",EDATE(J132,Assumptions!$B$14)))</f>
        <v/>
      </c>
      <c r="X132" s="15" t="str">
        <f>IF(C132&lt;&gt;"OK","",EDATE(M132,Assumptions!$B$16))</f>
        <v/>
      </c>
    </row>
    <row r="133" spans="1:24" ht="22" customHeight="1">
      <c r="A133" s="11" t="str">
        <f>IF('Case inputs'!A133="","",'Case inputs'!A133)</f>
        <v/>
      </c>
      <c r="B133" s="11" t="str">
        <f>IF(A133="","",'Case inputs'!C133)</f>
        <v/>
      </c>
      <c r="C133" s="11" t="str">
        <f>IF('Case inputs'!I133="","",IF(Assumptions!$B$38&lt;&gt;"OK","ASSUMPTIONS INVALID",'Case inputs'!I133))</f>
        <v/>
      </c>
      <c r="D133" s="11" t="str">
        <f>IF(C133&lt;&gt;"OK","",VLOOKUP('Case inputs'!E133,Benchmarks!$A$6:$C$164,3,FALSE))</f>
        <v/>
      </c>
      <c r="E133" s="11" t="str">
        <f>IF(C133&lt;&gt;"OK","",Assumptions!$B$5-'Case inputs'!D133)</f>
        <v/>
      </c>
      <c r="F133" s="15" t="str">
        <f>IF(C133&lt;&gt;"OK","",IF(B133="INITIAL",'Case inputs'!D133+Assumptions!$B$10,IF(B133="RECON",'Case inputs'!D133+Assumptions!$B$11,EDATE('Case inputs'!D133,INT(D133))+ROUND(MOD(D133,1)*30.44,0))))</f>
        <v/>
      </c>
      <c r="G133" s="11" t="str">
        <f>IF(C133&lt;&gt;"OK","",IF(AND(B133="HEARING",'Case inputs'!F133&lt;&gt;"",'Case inputs'!F133&gt;=Assumptions!$B$5),"SCHEDULED",IF('Case inputs'!G133&lt;&gt;"","REVIEWED OVERRIDE",IF(F133&lt;Assumptions!$B$5,"OVERDUE: FUTURE WINDOW","BENCHMARK SCENARIO"))))</f>
        <v/>
      </c>
      <c r="H133" s="15" t="str">
        <f>IF(C133&lt;&gt;"OK","",IF(G133="SCHEDULED",'Case inputs'!F133,IF('Case inputs'!G133&lt;&gt;"",'Case inputs'!G133,IF(F133&lt;Assumptions!$B$5,EDATE(Assumptions!$B$5,Assumptions!$B$17),F133))))</f>
        <v/>
      </c>
      <c r="I133" s="16" t="str">
        <f t="shared" si="6"/>
        <v/>
      </c>
      <c r="J133" s="15" t="str">
        <f>IF(C133&lt;&gt;"OK","",IF(B133="INITIAL",EDATE(I133,Assumptions!$B$12)+Assumptions!$B$11,IF(B133="RECON",H133,"")))</f>
        <v/>
      </c>
      <c r="K133" s="15" t="str">
        <f>IF(C133&lt;&gt;"OK","",IF(B133="HEARING",'Case inputs'!D133,EDATE(J133,Assumptions!$B$13)))</f>
        <v/>
      </c>
      <c r="L133" s="15" t="str">
        <f>IF(C133&lt;&gt;"OK","",IF(G133="SCHEDULED",H133,EDATE(IF(B133="HEARING",H133,EDATE(K133,INT(D133))+ROUND(MOD(D133,1)*30.44,0)),Assumptions!$B$18)))</f>
        <v/>
      </c>
      <c r="M133" s="15" t="str">
        <f>IF(C133&lt;&gt;"OK","",EDATE(L133,Assumptions!$B$15))</f>
        <v/>
      </c>
      <c r="N133" s="17" t="str">
        <f>IF(C133&lt;&gt;"OK","",IF(B133="INITIAL",Assumptions!$B$21,0))</f>
        <v/>
      </c>
      <c r="O133" s="17" t="str">
        <f>IF(C133&lt;&gt;"OK","",IF(B133="INITIAL",(1-Assumptions!$B$21)*Assumptions!$B$24*Assumptions!$B$22,IF(B133="RECON",Assumptions!$B$22,0)))</f>
        <v/>
      </c>
      <c r="P133" s="17" t="str">
        <f>IF(C133&lt;&gt;"OK","",IF(B133="INITIAL",(1-Assumptions!$B$21)*Assumptions!$B$24*(1-Assumptions!$B$22)*Assumptions!$B$25,IF(B133="RECON",(1-Assumptions!$B$22)*Assumptions!$B$25,1)))</f>
        <v/>
      </c>
      <c r="Q133" s="17" t="str">
        <f>IF(C133&lt;&gt;"OK","",IF(B133="INITIAL",(1-Assumptions!$B$21)*(1-Assumptions!$B$24),0))</f>
        <v/>
      </c>
      <c r="R133" s="17" t="str">
        <f>IF(C133&lt;&gt;"OK","",IF(B133="INITIAL",(1-Assumptions!$B$21)*Assumptions!$B$24*(1-Assumptions!$B$22)*(1-Assumptions!$B$25),IF(B133="RECON",(1-Assumptions!$B$22)*(1-Assumptions!$B$25),0)))</f>
        <v/>
      </c>
      <c r="S133" s="17" t="str">
        <f>IF(C133&lt;&gt;"OK","",P133*Assumptions!$B$23)</f>
        <v/>
      </c>
      <c r="T133" s="17" t="str">
        <f>IF(C133&lt;&gt;"OK","",P133*(1-Assumptions!$B$23))</f>
        <v/>
      </c>
      <c r="U133" s="18" t="str">
        <f t="shared" si="7"/>
        <v/>
      </c>
      <c r="V133" s="15" t="str">
        <f>IF(C133&lt;&gt;"OK","",IF(B133="INITIAL",EDATE(I133,Assumptions!$B$14),""))</f>
        <v/>
      </c>
      <c r="W133" s="15" t="str">
        <f>IF(C133&lt;&gt;"OK","",IF(B133="HEARING","",EDATE(J133,Assumptions!$B$14)))</f>
        <v/>
      </c>
      <c r="X133" s="15" t="str">
        <f>IF(C133&lt;&gt;"OK","",EDATE(M133,Assumptions!$B$16))</f>
        <v/>
      </c>
    </row>
    <row r="134" spans="1:24" ht="22" customHeight="1">
      <c r="A134" s="11" t="str">
        <f>IF('Case inputs'!A134="","",'Case inputs'!A134)</f>
        <v/>
      </c>
      <c r="B134" s="11" t="str">
        <f>IF(A134="","",'Case inputs'!C134)</f>
        <v/>
      </c>
      <c r="C134" s="11" t="str">
        <f>IF('Case inputs'!I134="","",IF(Assumptions!$B$38&lt;&gt;"OK","ASSUMPTIONS INVALID",'Case inputs'!I134))</f>
        <v/>
      </c>
      <c r="D134" s="11" t="str">
        <f>IF(C134&lt;&gt;"OK","",VLOOKUP('Case inputs'!E134,Benchmarks!$A$6:$C$164,3,FALSE))</f>
        <v/>
      </c>
      <c r="E134" s="11" t="str">
        <f>IF(C134&lt;&gt;"OK","",Assumptions!$B$5-'Case inputs'!D134)</f>
        <v/>
      </c>
      <c r="F134" s="15" t="str">
        <f>IF(C134&lt;&gt;"OK","",IF(B134="INITIAL",'Case inputs'!D134+Assumptions!$B$10,IF(B134="RECON",'Case inputs'!D134+Assumptions!$B$11,EDATE('Case inputs'!D134,INT(D134))+ROUND(MOD(D134,1)*30.44,0))))</f>
        <v/>
      </c>
      <c r="G134" s="11" t="str">
        <f>IF(C134&lt;&gt;"OK","",IF(AND(B134="HEARING",'Case inputs'!F134&lt;&gt;"",'Case inputs'!F134&gt;=Assumptions!$B$5),"SCHEDULED",IF('Case inputs'!G134&lt;&gt;"","REVIEWED OVERRIDE",IF(F134&lt;Assumptions!$B$5,"OVERDUE: FUTURE WINDOW","BENCHMARK SCENARIO"))))</f>
        <v/>
      </c>
      <c r="H134" s="15" t="str">
        <f>IF(C134&lt;&gt;"OK","",IF(G134="SCHEDULED",'Case inputs'!F134,IF('Case inputs'!G134&lt;&gt;"",'Case inputs'!G134,IF(F134&lt;Assumptions!$B$5,EDATE(Assumptions!$B$5,Assumptions!$B$17),F134))))</f>
        <v/>
      </c>
      <c r="I134" s="16" t="str">
        <f t="shared" ref="I134:I165" si="8">IF(C134&lt;&gt;"OK","",IF(B134="INITIAL",H134,""))</f>
        <v/>
      </c>
      <c r="J134" s="15" t="str">
        <f>IF(C134&lt;&gt;"OK","",IF(B134="INITIAL",EDATE(I134,Assumptions!$B$12)+Assumptions!$B$11,IF(B134="RECON",H134,"")))</f>
        <v/>
      </c>
      <c r="K134" s="15" t="str">
        <f>IF(C134&lt;&gt;"OK","",IF(B134="HEARING",'Case inputs'!D134,EDATE(J134,Assumptions!$B$13)))</f>
        <v/>
      </c>
      <c r="L134" s="15" t="str">
        <f>IF(C134&lt;&gt;"OK","",IF(G134="SCHEDULED",H134,EDATE(IF(B134="HEARING",H134,EDATE(K134,INT(D134))+ROUND(MOD(D134,1)*30.44,0)),Assumptions!$B$18)))</f>
        <v/>
      </c>
      <c r="M134" s="15" t="str">
        <f>IF(C134&lt;&gt;"OK","",EDATE(L134,Assumptions!$B$15))</f>
        <v/>
      </c>
      <c r="N134" s="17" t="str">
        <f>IF(C134&lt;&gt;"OK","",IF(B134="INITIAL",Assumptions!$B$21,0))</f>
        <v/>
      </c>
      <c r="O134" s="17" t="str">
        <f>IF(C134&lt;&gt;"OK","",IF(B134="INITIAL",(1-Assumptions!$B$21)*Assumptions!$B$24*Assumptions!$B$22,IF(B134="RECON",Assumptions!$B$22,0)))</f>
        <v/>
      </c>
      <c r="P134" s="17" t="str">
        <f>IF(C134&lt;&gt;"OK","",IF(B134="INITIAL",(1-Assumptions!$B$21)*Assumptions!$B$24*(1-Assumptions!$B$22)*Assumptions!$B$25,IF(B134="RECON",(1-Assumptions!$B$22)*Assumptions!$B$25,1)))</f>
        <v/>
      </c>
      <c r="Q134" s="17" t="str">
        <f>IF(C134&lt;&gt;"OK","",IF(B134="INITIAL",(1-Assumptions!$B$21)*(1-Assumptions!$B$24),0))</f>
        <v/>
      </c>
      <c r="R134" s="17" t="str">
        <f>IF(C134&lt;&gt;"OK","",IF(B134="INITIAL",(1-Assumptions!$B$21)*Assumptions!$B$24*(1-Assumptions!$B$22)*(1-Assumptions!$B$25),IF(B134="RECON",(1-Assumptions!$B$22)*(1-Assumptions!$B$25),0)))</f>
        <v/>
      </c>
      <c r="S134" s="17" t="str">
        <f>IF(C134&lt;&gt;"OK","",P134*Assumptions!$B$23)</f>
        <v/>
      </c>
      <c r="T134" s="17" t="str">
        <f>IF(C134&lt;&gt;"OK","",P134*(1-Assumptions!$B$23))</f>
        <v/>
      </c>
      <c r="U134" s="18" t="str">
        <f t="shared" ref="U134:U165" si="9">IF(C134&lt;&gt;"OK","",SUM(N134:O134,Q134:T134))</f>
        <v/>
      </c>
      <c r="V134" s="15" t="str">
        <f>IF(C134&lt;&gt;"OK","",IF(B134="INITIAL",EDATE(I134,Assumptions!$B$14),""))</f>
        <v/>
      </c>
      <c r="W134" s="15" t="str">
        <f>IF(C134&lt;&gt;"OK","",IF(B134="HEARING","",EDATE(J134,Assumptions!$B$14)))</f>
        <v/>
      </c>
      <c r="X134" s="15" t="str">
        <f>IF(C134&lt;&gt;"OK","",EDATE(M134,Assumptions!$B$16))</f>
        <v/>
      </c>
    </row>
    <row r="135" spans="1:24" ht="22" customHeight="1">
      <c r="A135" s="11" t="str">
        <f>IF('Case inputs'!A135="","",'Case inputs'!A135)</f>
        <v/>
      </c>
      <c r="B135" s="11" t="str">
        <f>IF(A135="","",'Case inputs'!C135)</f>
        <v/>
      </c>
      <c r="C135" s="11" t="str">
        <f>IF('Case inputs'!I135="","",IF(Assumptions!$B$38&lt;&gt;"OK","ASSUMPTIONS INVALID",'Case inputs'!I135))</f>
        <v/>
      </c>
      <c r="D135" s="11" t="str">
        <f>IF(C135&lt;&gt;"OK","",VLOOKUP('Case inputs'!E135,Benchmarks!$A$6:$C$164,3,FALSE))</f>
        <v/>
      </c>
      <c r="E135" s="11" t="str">
        <f>IF(C135&lt;&gt;"OK","",Assumptions!$B$5-'Case inputs'!D135)</f>
        <v/>
      </c>
      <c r="F135" s="15" t="str">
        <f>IF(C135&lt;&gt;"OK","",IF(B135="INITIAL",'Case inputs'!D135+Assumptions!$B$10,IF(B135="RECON",'Case inputs'!D135+Assumptions!$B$11,EDATE('Case inputs'!D135,INT(D135))+ROUND(MOD(D135,1)*30.44,0))))</f>
        <v/>
      </c>
      <c r="G135" s="11" t="str">
        <f>IF(C135&lt;&gt;"OK","",IF(AND(B135="HEARING",'Case inputs'!F135&lt;&gt;"",'Case inputs'!F135&gt;=Assumptions!$B$5),"SCHEDULED",IF('Case inputs'!G135&lt;&gt;"","REVIEWED OVERRIDE",IF(F135&lt;Assumptions!$B$5,"OVERDUE: FUTURE WINDOW","BENCHMARK SCENARIO"))))</f>
        <v/>
      </c>
      <c r="H135" s="15" t="str">
        <f>IF(C135&lt;&gt;"OK","",IF(G135="SCHEDULED",'Case inputs'!F135,IF('Case inputs'!G135&lt;&gt;"",'Case inputs'!G135,IF(F135&lt;Assumptions!$B$5,EDATE(Assumptions!$B$5,Assumptions!$B$17),F135))))</f>
        <v/>
      </c>
      <c r="I135" s="16" t="str">
        <f t="shared" si="8"/>
        <v/>
      </c>
      <c r="J135" s="15" t="str">
        <f>IF(C135&lt;&gt;"OK","",IF(B135="INITIAL",EDATE(I135,Assumptions!$B$12)+Assumptions!$B$11,IF(B135="RECON",H135,"")))</f>
        <v/>
      </c>
      <c r="K135" s="15" t="str">
        <f>IF(C135&lt;&gt;"OK","",IF(B135="HEARING",'Case inputs'!D135,EDATE(J135,Assumptions!$B$13)))</f>
        <v/>
      </c>
      <c r="L135" s="15" t="str">
        <f>IF(C135&lt;&gt;"OK","",IF(G135="SCHEDULED",H135,EDATE(IF(B135="HEARING",H135,EDATE(K135,INT(D135))+ROUND(MOD(D135,1)*30.44,0)),Assumptions!$B$18)))</f>
        <v/>
      </c>
      <c r="M135" s="15" t="str">
        <f>IF(C135&lt;&gt;"OK","",EDATE(L135,Assumptions!$B$15))</f>
        <v/>
      </c>
      <c r="N135" s="17" t="str">
        <f>IF(C135&lt;&gt;"OK","",IF(B135="INITIAL",Assumptions!$B$21,0))</f>
        <v/>
      </c>
      <c r="O135" s="17" t="str">
        <f>IF(C135&lt;&gt;"OK","",IF(B135="INITIAL",(1-Assumptions!$B$21)*Assumptions!$B$24*Assumptions!$B$22,IF(B135="RECON",Assumptions!$B$22,0)))</f>
        <v/>
      </c>
      <c r="P135" s="17" t="str">
        <f>IF(C135&lt;&gt;"OK","",IF(B135="INITIAL",(1-Assumptions!$B$21)*Assumptions!$B$24*(1-Assumptions!$B$22)*Assumptions!$B$25,IF(B135="RECON",(1-Assumptions!$B$22)*Assumptions!$B$25,1)))</f>
        <v/>
      </c>
      <c r="Q135" s="17" t="str">
        <f>IF(C135&lt;&gt;"OK","",IF(B135="INITIAL",(1-Assumptions!$B$21)*(1-Assumptions!$B$24),0))</f>
        <v/>
      </c>
      <c r="R135" s="17" t="str">
        <f>IF(C135&lt;&gt;"OK","",IF(B135="INITIAL",(1-Assumptions!$B$21)*Assumptions!$B$24*(1-Assumptions!$B$22)*(1-Assumptions!$B$25),IF(B135="RECON",(1-Assumptions!$B$22)*(1-Assumptions!$B$25),0)))</f>
        <v/>
      </c>
      <c r="S135" s="17" t="str">
        <f>IF(C135&lt;&gt;"OK","",P135*Assumptions!$B$23)</f>
        <v/>
      </c>
      <c r="T135" s="17" t="str">
        <f>IF(C135&lt;&gt;"OK","",P135*(1-Assumptions!$B$23))</f>
        <v/>
      </c>
      <c r="U135" s="18" t="str">
        <f t="shared" si="9"/>
        <v/>
      </c>
      <c r="V135" s="15" t="str">
        <f>IF(C135&lt;&gt;"OK","",IF(B135="INITIAL",EDATE(I135,Assumptions!$B$14),""))</f>
        <v/>
      </c>
      <c r="W135" s="15" t="str">
        <f>IF(C135&lt;&gt;"OK","",IF(B135="HEARING","",EDATE(J135,Assumptions!$B$14)))</f>
        <v/>
      </c>
      <c r="X135" s="15" t="str">
        <f>IF(C135&lt;&gt;"OK","",EDATE(M135,Assumptions!$B$16))</f>
        <v/>
      </c>
    </row>
    <row r="136" spans="1:24" ht="22" customHeight="1">
      <c r="A136" s="11" t="str">
        <f>IF('Case inputs'!A136="","",'Case inputs'!A136)</f>
        <v/>
      </c>
      <c r="B136" s="11" t="str">
        <f>IF(A136="","",'Case inputs'!C136)</f>
        <v/>
      </c>
      <c r="C136" s="11" t="str">
        <f>IF('Case inputs'!I136="","",IF(Assumptions!$B$38&lt;&gt;"OK","ASSUMPTIONS INVALID",'Case inputs'!I136))</f>
        <v/>
      </c>
      <c r="D136" s="11" t="str">
        <f>IF(C136&lt;&gt;"OK","",VLOOKUP('Case inputs'!E136,Benchmarks!$A$6:$C$164,3,FALSE))</f>
        <v/>
      </c>
      <c r="E136" s="11" t="str">
        <f>IF(C136&lt;&gt;"OK","",Assumptions!$B$5-'Case inputs'!D136)</f>
        <v/>
      </c>
      <c r="F136" s="15" t="str">
        <f>IF(C136&lt;&gt;"OK","",IF(B136="INITIAL",'Case inputs'!D136+Assumptions!$B$10,IF(B136="RECON",'Case inputs'!D136+Assumptions!$B$11,EDATE('Case inputs'!D136,INT(D136))+ROUND(MOD(D136,1)*30.44,0))))</f>
        <v/>
      </c>
      <c r="G136" s="11" t="str">
        <f>IF(C136&lt;&gt;"OK","",IF(AND(B136="HEARING",'Case inputs'!F136&lt;&gt;"",'Case inputs'!F136&gt;=Assumptions!$B$5),"SCHEDULED",IF('Case inputs'!G136&lt;&gt;"","REVIEWED OVERRIDE",IF(F136&lt;Assumptions!$B$5,"OVERDUE: FUTURE WINDOW","BENCHMARK SCENARIO"))))</f>
        <v/>
      </c>
      <c r="H136" s="15" t="str">
        <f>IF(C136&lt;&gt;"OK","",IF(G136="SCHEDULED",'Case inputs'!F136,IF('Case inputs'!G136&lt;&gt;"",'Case inputs'!G136,IF(F136&lt;Assumptions!$B$5,EDATE(Assumptions!$B$5,Assumptions!$B$17),F136))))</f>
        <v/>
      </c>
      <c r="I136" s="16" t="str">
        <f t="shared" si="8"/>
        <v/>
      </c>
      <c r="J136" s="15" t="str">
        <f>IF(C136&lt;&gt;"OK","",IF(B136="INITIAL",EDATE(I136,Assumptions!$B$12)+Assumptions!$B$11,IF(B136="RECON",H136,"")))</f>
        <v/>
      </c>
      <c r="K136" s="15" t="str">
        <f>IF(C136&lt;&gt;"OK","",IF(B136="HEARING",'Case inputs'!D136,EDATE(J136,Assumptions!$B$13)))</f>
        <v/>
      </c>
      <c r="L136" s="15" t="str">
        <f>IF(C136&lt;&gt;"OK","",IF(G136="SCHEDULED",H136,EDATE(IF(B136="HEARING",H136,EDATE(K136,INT(D136))+ROUND(MOD(D136,1)*30.44,0)),Assumptions!$B$18)))</f>
        <v/>
      </c>
      <c r="M136" s="15" t="str">
        <f>IF(C136&lt;&gt;"OK","",EDATE(L136,Assumptions!$B$15))</f>
        <v/>
      </c>
      <c r="N136" s="17" t="str">
        <f>IF(C136&lt;&gt;"OK","",IF(B136="INITIAL",Assumptions!$B$21,0))</f>
        <v/>
      </c>
      <c r="O136" s="17" t="str">
        <f>IF(C136&lt;&gt;"OK","",IF(B136="INITIAL",(1-Assumptions!$B$21)*Assumptions!$B$24*Assumptions!$B$22,IF(B136="RECON",Assumptions!$B$22,0)))</f>
        <v/>
      </c>
      <c r="P136" s="17" t="str">
        <f>IF(C136&lt;&gt;"OK","",IF(B136="INITIAL",(1-Assumptions!$B$21)*Assumptions!$B$24*(1-Assumptions!$B$22)*Assumptions!$B$25,IF(B136="RECON",(1-Assumptions!$B$22)*Assumptions!$B$25,1)))</f>
        <v/>
      </c>
      <c r="Q136" s="17" t="str">
        <f>IF(C136&lt;&gt;"OK","",IF(B136="INITIAL",(1-Assumptions!$B$21)*(1-Assumptions!$B$24),0))</f>
        <v/>
      </c>
      <c r="R136" s="17" t="str">
        <f>IF(C136&lt;&gt;"OK","",IF(B136="INITIAL",(1-Assumptions!$B$21)*Assumptions!$B$24*(1-Assumptions!$B$22)*(1-Assumptions!$B$25),IF(B136="RECON",(1-Assumptions!$B$22)*(1-Assumptions!$B$25),0)))</f>
        <v/>
      </c>
      <c r="S136" s="17" t="str">
        <f>IF(C136&lt;&gt;"OK","",P136*Assumptions!$B$23)</f>
        <v/>
      </c>
      <c r="T136" s="17" t="str">
        <f>IF(C136&lt;&gt;"OK","",P136*(1-Assumptions!$B$23))</f>
        <v/>
      </c>
      <c r="U136" s="18" t="str">
        <f t="shared" si="9"/>
        <v/>
      </c>
      <c r="V136" s="15" t="str">
        <f>IF(C136&lt;&gt;"OK","",IF(B136="INITIAL",EDATE(I136,Assumptions!$B$14),""))</f>
        <v/>
      </c>
      <c r="W136" s="15" t="str">
        <f>IF(C136&lt;&gt;"OK","",IF(B136="HEARING","",EDATE(J136,Assumptions!$B$14)))</f>
        <v/>
      </c>
      <c r="X136" s="15" t="str">
        <f>IF(C136&lt;&gt;"OK","",EDATE(M136,Assumptions!$B$16))</f>
        <v/>
      </c>
    </row>
    <row r="137" spans="1:24" ht="22" customHeight="1">
      <c r="A137" s="11" t="str">
        <f>IF('Case inputs'!A137="","",'Case inputs'!A137)</f>
        <v/>
      </c>
      <c r="B137" s="11" t="str">
        <f>IF(A137="","",'Case inputs'!C137)</f>
        <v/>
      </c>
      <c r="C137" s="11" t="str">
        <f>IF('Case inputs'!I137="","",IF(Assumptions!$B$38&lt;&gt;"OK","ASSUMPTIONS INVALID",'Case inputs'!I137))</f>
        <v/>
      </c>
      <c r="D137" s="11" t="str">
        <f>IF(C137&lt;&gt;"OK","",VLOOKUP('Case inputs'!E137,Benchmarks!$A$6:$C$164,3,FALSE))</f>
        <v/>
      </c>
      <c r="E137" s="11" t="str">
        <f>IF(C137&lt;&gt;"OK","",Assumptions!$B$5-'Case inputs'!D137)</f>
        <v/>
      </c>
      <c r="F137" s="15" t="str">
        <f>IF(C137&lt;&gt;"OK","",IF(B137="INITIAL",'Case inputs'!D137+Assumptions!$B$10,IF(B137="RECON",'Case inputs'!D137+Assumptions!$B$11,EDATE('Case inputs'!D137,INT(D137))+ROUND(MOD(D137,1)*30.44,0))))</f>
        <v/>
      </c>
      <c r="G137" s="11" t="str">
        <f>IF(C137&lt;&gt;"OK","",IF(AND(B137="HEARING",'Case inputs'!F137&lt;&gt;"",'Case inputs'!F137&gt;=Assumptions!$B$5),"SCHEDULED",IF('Case inputs'!G137&lt;&gt;"","REVIEWED OVERRIDE",IF(F137&lt;Assumptions!$B$5,"OVERDUE: FUTURE WINDOW","BENCHMARK SCENARIO"))))</f>
        <v/>
      </c>
      <c r="H137" s="15" t="str">
        <f>IF(C137&lt;&gt;"OK","",IF(G137="SCHEDULED",'Case inputs'!F137,IF('Case inputs'!G137&lt;&gt;"",'Case inputs'!G137,IF(F137&lt;Assumptions!$B$5,EDATE(Assumptions!$B$5,Assumptions!$B$17),F137))))</f>
        <v/>
      </c>
      <c r="I137" s="16" t="str">
        <f t="shared" si="8"/>
        <v/>
      </c>
      <c r="J137" s="15" t="str">
        <f>IF(C137&lt;&gt;"OK","",IF(B137="INITIAL",EDATE(I137,Assumptions!$B$12)+Assumptions!$B$11,IF(B137="RECON",H137,"")))</f>
        <v/>
      </c>
      <c r="K137" s="15" t="str">
        <f>IF(C137&lt;&gt;"OK","",IF(B137="HEARING",'Case inputs'!D137,EDATE(J137,Assumptions!$B$13)))</f>
        <v/>
      </c>
      <c r="L137" s="15" t="str">
        <f>IF(C137&lt;&gt;"OK","",IF(G137="SCHEDULED",H137,EDATE(IF(B137="HEARING",H137,EDATE(K137,INT(D137))+ROUND(MOD(D137,1)*30.44,0)),Assumptions!$B$18)))</f>
        <v/>
      </c>
      <c r="M137" s="15" t="str">
        <f>IF(C137&lt;&gt;"OK","",EDATE(L137,Assumptions!$B$15))</f>
        <v/>
      </c>
      <c r="N137" s="17" t="str">
        <f>IF(C137&lt;&gt;"OK","",IF(B137="INITIAL",Assumptions!$B$21,0))</f>
        <v/>
      </c>
      <c r="O137" s="17" t="str">
        <f>IF(C137&lt;&gt;"OK","",IF(B137="INITIAL",(1-Assumptions!$B$21)*Assumptions!$B$24*Assumptions!$B$22,IF(B137="RECON",Assumptions!$B$22,0)))</f>
        <v/>
      </c>
      <c r="P137" s="17" t="str">
        <f>IF(C137&lt;&gt;"OK","",IF(B137="INITIAL",(1-Assumptions!$B$21)*Assumptions!$B$24*(1-Assumptions!$B$22)*Assumptions!$B$25,IF(B137="RECON",(1-Assumptions!$B$22)*Assumptions!$B$25,1)))</f>
        <v/>
      </c>
      <c r="Q137" s="17" t="str">
        <f>IF(C137&lt;&gt;"OK","",IF(B137="INITIAL",(1-Assumptions!$B$21)*(1-Assumptions!$B$24),0))</f>
        <v/>
      </c>
      <c r="R137" s="17" t="str">
        <f>IF(C137&lt;&gt;"OK","",IF(B137="INITIAL",(1-Assumptions!$B$21)*Assumptions!$B$24*(1-Assumptions!$B$22)*(1-Assumptions!$B$25),IF(B137="RECON",(1-Assumptions!$B$22)*(1-Assumptions!$B$25),0)))</f>
        <v/>
      </c>
      <c r="S137" s="17" t="str">
        <f>IF(C137&lt;&gt;"OK","",P137*Assumptions!$B$23)</f>
        <v/>
      </c>
      <c r="T137" s="17" t="str">
        <f>IF(C137&lt;&gt;"OK","",P137*(1-Assumptions!$B$23))</f>
        <v/>
      </c>
      <c r="U137" s="18" t="str">
        <f t="shared" si="9"/>
        <v/>
      </c>
      <c r="V137" s="15" t="str">
        <f>IF(C137&lt;&gt;"OK","",IF(B137="INITIAL",EDATE(I137,Assumptions!$B$14),""))</f>
        <v/>
      </c>
      <c r="W137" s="15" t="str">
        <f>IF(C137&lt;&gt;"OK","",IF(B137="HEARING","",EDATE(J137,Assumptions!$B$14)))</f>
        <v/>
      </c>
      <c r="X137" s="15" t="str">
        <f>IF(C137&lt;&gt;"OK","",EDATE(M137,Assumptions!$B$16))</f>
        <v/>
      </c>
    </row>
    <row r="138" spans="1:24" ht="22" customHeight="1">
      <c r="A138" s="11" t="str">
        <f>IF('Case inputs'!A138="","",'Case inputs'!A138)</f>
        <v/>
      </c>
      <c r="B138" s="11" t="str">
        <f>IF(A138="","",'Case inputs'!C138)</f>
        <v/>
      </c>
      <c r="C138" s="11" t="str">
        <f>IF('Case inputs'!I138="","",IF(Assumptions!$B$38&lt;&gt;"OK","ASSUMPTIONS INVALID",'Case inputs'!I138))</f>
        <v/>
      </c>
      <c r="D138" s="11" t="str">
        <f>IF(C138&lt;&gt;"OK","",VLOOKUP('Case inputs'!E138,Benchmarks!$A$6:$C$164,3,FALSE))</f>
        <v/>
      </c>
      <c r="E138" s="11" t="str">
        <f>IF(C138&lt;&gt;"OK","",Assumptions!$B$5-'Case inputs'!D138)</f>
        <v/>
      </c>
      <c r="F138" s="15" t="str">
        <f>IF(C138&lt;&gt;"OK","",IF(B138="INITIAL",'Case inputs'!D138+Assumptions!$B$10,IF(B138="RECON",'Case inputs'!D138+Assumptions!$B$11,EDATE('Case inputs'!D138,INT(D138))+ROUND(MOD(D138,1)*30.44,0))))</f>
        <v/>
      </c>
      <c r="G138" s="11" t="str">
        <f>IF(C138&lt;&gt;"OK","",IF(AND(B138="HEARING",'Case inputs'!F138&lt;&gt;"",'Case inputs'!F138&gt;=Assumptions!$B$5),"SCHEDULED",IF('Case inputs'!G138&lt;&gt;"","REVIEWED OVERRIDE",IF(F138&lt;Assumptions!$B$5,"OVERDUE: FUTURE WINDOW","BENCHMARK SCENARIO"))))</f>
        <v/>
      </c>
      <c r="H138" s="15" t="str">
        <f>IF(C138&lt;&gt;"OK","",IF(G138="SCHEDULED",'Case inputs'!F138,IF('Case inputs'!G138&lt;&gt;"",'Case inputs'!G138,IF(F138&lt;Assumptions!$B$5,EDATE(Assumptions!$B$5,Assumptions!$B$17),F138))))</f>
        <v/>
      </c>
      <c r="I138" s="16" t="str">
        <f t="shared" si="8"/>
        <v/>
      </c>
      <c r="J138" s="15" t="str">
        <f>IF(C138&lt;&gt;"OK","",IF(B138="INITIAL",EDATE(I138,Assumptions!$B$12)+Assumptions!$B$11,IF(B138="RECON",H138,"")))</f>
        <v/>
      </c>
      <c r="K138" s="15" t="str">
        <f>IF(C138&lt;&gt;"OK","",IF(B138="HEARING",'Case inputs'!D138,EDATE(J138,Assumptions!$B$13)))</f>
        <v/>
      </c>
      <c r="L138" s="15" t="str">
        <f>IF(C138&lt;&gt;"OK","",IF(G138="SCHEDULED",H138,EDATE(IF(B138="HEARING",H138,EDATE(K138,INT(D138))+ROUND(MOD(D138,1)*30.44,0)),Assumptions!$B$18)))</f>
        <v/>
      </c>
      <c r="M138" s="15" t="str">
        <f>IF(C138&lt;&gt;"OK","",EDATE(L138,Assumptions!$B$15))</f>
        <v/>
      </c>
      <c r="N138" s="17" t="str">
        <f>IF(C138&lt;&gt;"OK","",IF(B138="INITIAL",Assumptions!$B$21,0))</f>
        <v/>
      </c>
      <c r="O138" s="17" t="str">
        <f>IF(C138&lt;&gt;"OK","",IF(B138="INITIAL",(1-Assumptions!$B$21)*Assumptions!$B$24*Assumptions!$B$22,IF(B138="RECON",Assumptions!$B$22,0)))</f>
        <v/>
      </c>
      <c r="P138" s="17" t="str">
        <f>IF(C138&lt;&gt;"OK","",IF(B138="INITIAL",(1-Assumptions!$B$21)*Assumptions!$B$24*(1-Assumptions!$B$22)*Assumptions!$B$25,IF(B138="RECON",(1-Assumptions!$B$22)*Assumptions!$B$25,1)))</f>
        <v/>
      </c>
      <c r="Q138" s="17" t="str">
        <f>IF(C138&lt;&gt;"OK","",IF(B138="INITIAL",(1-Assumptions!$B$21)*(1-Assumptions!$B$24),0))</f>
        <v/>
      </c>
      <c r="R138" s="17" t="str">
        <f>IF(C138&lt;&gt;"OK","",IF(B138="INITIAL",(1-Assumptions!$B$21)*Assumptions!$B$24*(1-Assumptions!$B$22)*(1-Assumptions!$B$25),IF(B138="RECON",(1-Assumptions!$B$22)*(1-Assumptions!$B$25),0)))</f>
        <v/>
      </c>
      <c r="S138" s="17" t="str">
        <f>IF(C138&lt;&gt;"OK","",P138*Assumptions!$B$23)</f>
        <v/>
      </c>
      <c r="T138" s="17" t="str">
        <f>IF(C138&lt;&gt;"OK","",P138*(1-Assumptions!$B$23))</f>
        <v/>
      </c>
      <c r="U138" s="18" t="str">
        <f t="shared" si="9"/>
        <v/>
      </c>
      <c r="V138" s="15" t="str">
        <f>IF(C138&lt;&gt;"OK","",IF(B138="INITIAL",EDATE(I138,Assumptions!$B$14),""))</f>
        <v/>
      </c>
      <c r="W138" s="15" t="str">
        <f>IF(C138&lt;&gt;"OK","",IF(B138="HEARING","",EDATE(J138,Assumptions!$B$14)))</f>
        <v/>
      </c>
      <c r="X138" s="15" t="str">
        <f>IF(C138&lt;&gt;"OK","",EDATE(M138,Assumptions!$B$16))</f>
        <v/>
      </c>
    </row>
    <row r="139" spans="1:24" ht="22" customHeight="1">
      <c r="A139" s="11" t="str">
        <f>IF('Case inputs'!A139="","",'Case inputs'!A139)</f>
        <v/>
      </c>
      <c r="B139" s="11" t="str">
        <f>IF(A139="","",'Case inputs'!C139)</f>
        <v/>
      </c>
      <c r="C139" s="11" t="str">
        <f>IF('Case inputs'!I139="","",IF(Assumptions!$B$38&lt;&gt;"OK","ASSUMPTIONS INVALID",'Case inputs'!I139))</f>
        <v/>
      </c>
      <c r="D139" s="11" t="str">
        <f>IF(C139&lt;&gt;"OK","",VLOOKUP('Case inputs'!E139,Benchmarks!$A$6:$C$164,3,FALSE))</f>
        <v/>
      </c>
      <c r="E139" s="11" t="str">
        <f>IF(C139&lt;&gt;"OK","",Assumptions!$B$5-'Case inputs'!D139)</f>
        <v/>
      </c>
      <c r="F139" s="15" t="str">
        <f>IF(C139&lt;&gt;"OK","",IF(B139="INITIAL",'Case inputs'!D139+Assumptions!$B$10,IF(B139="RECON",'Case inputs'!D139+Assumptions!$B$11,EDATE('Case inputs'!D139,INT(D139))+ROUND(MOD(D139,1)*30.44,0))))</f>
        <v/>
      </c>
      <c r="G139" s="11" t="str">
        <f>IF(C139&lt;&gt;"OK","",IF(AND(B139="HEARING",'Case inputs'!F139&lt;&gt;"",'Case inputs'!F139&gt;=Assumptions!$B$5),"SCHEDULED",IF('Case inputs'!G139&lt;&gt;"","REVIEWED OVERRIDE",IF(F139&lt;Assumptions!$B$5,"OVERDUE: FUTURE WINDOW","BENCHMARK SCENARIO"))))</f>
        <v/>
      </c>
      <c r="H139" s="15" t="str">
        <f>IF(C139&lt;&gt;"OK","",IF(G139="SCHEDULED",'Case inputs'!F139,IF('Case inputs'!G139&lt;&gt;"",'Case inputs'!G139,IF(F139&lt;Assumptions!$B$5,EDATE(Assumptions!$B$5,Assumptions!$B$17),F139))))</f>
        <v/>
      </c>
      <c r="I139" s="16" t="str">
        <f t="shared" si="8"/>
        <v/>
      </c>
      <c r="J139" s="15" t="str">
        <f>IF(C139&lt;&gt;"OK","",IF(B139="INITIAL",EDATE(I139,Assumptions!$B$12)+Assumptions!$B$11,IF(B139="RECON",H139,"")))</f>
        <v/>
      </c>
      <c r="K139" s="15" t="str">
        <f>IF(C139&lt;&gt;"OK","",IF(B139="HEARING",'Case inputs'!D139,EDATE(J139,Assumptions!$B$13)))</f>
        <v/>
      </c>
      <c r="L139" s="15" t="str">
        <f>IF(C139&lt;&gt;"OK","",IF(G139="SCHEDULED",H139,EDATE(IF(B139="HEARING",H139,EDATE(K139,INT(D139))+ROUND(MOD(D139,1)*30.44,0)),Assumptions!$B$18)))</f>
        <v/>
      </c>
      <c r="M139" s="15" t="str">
        <f>IF(C139&lt;&gt;"OK","",EDATE(L139,Assumptions!$B$15))</f>
        <v/>
      </c>
      <c r="N139" s="17" t="str">
        <f>IF(C139&lt;&gt;"OK","",IF(B139="INITIAL",Assumptions!$B$21,0))</f>
        <v/>
      </c>
      <c r="O139" s="17" t="str">
        <f>IF(C139&lt;&gt;"OK","",IF(B139="INITIAL",(1-Assumptions!$B$21)*Assumptions!$B$24*Assumptions!$B$22,IF(B139="RECON",Assumptions!$B$22,0)))</f>
        <v/>
      </c>
      <c r="P139" s="17" t="str">
        <f>IF(C139&lt;&gt;"OK","",IF(B139="INITIAL",(1-Assumptions!$B$21)*Assumptions!$B$24*(1-Assumptions!$B$22)*Assumptions!$B$25,IF(B139="RECON",(1-Assumptions!$B$22)*Assumptions!$B$25,1)))</f>
        <v/>
      </c>
      <c r="Q139" s="17" t="str">
        <f>IF(C139&lt;&gt;"OK","",IF(B139="INITIAL",(1-Assumptions!$B$21)*(1-Assumptions!$B$24),0))</f>
        <v/>
      </c>
      <c r="R139" s="17" t="str">
        <f>IF(C139&lt;&gt;"OK","",IF(B139="INITIAL",(1-Assumptions!$B$21)*Assumptions!$B$24*(1-Assumptions!$B$22)*(1-Assumptions!$B$25),IF(B139="RECON",(1-Assumptions!$B$22)*(1-Assumptions!$B$25),0)))</f>
        <v/>
      </c>
      <c r="S139" s="17" t="str">
        <f>IF(C139&lt;&gt;"OK","",P139*Assumptions!$B$23)</f>
        <v/>
      </c>
      <c r="T139" s="17" t="str">
        <f>IF(C139&lt;&gt;"OK","",P139*(1-Assumptions!$B$23))</f>
        <v/>
      </c>
      <c r="U139" s="18" t="str">
        <f t="shared" si="9"/>
        <v/>
      </c>
      <c r="V139" s="15" t="str">
        <f>IF(C139&lt;&gt;"OK","",IF(B139="INITIAL",EDATE(I139,Assumptions!$B$14),""))</f>
        <v/>
      </c>
      <c r="W139" s="15" t="str">
        <f>IF(C139&lt;&gt;"OK","",IF(B139="HEARING","",EDATE(J139,Assumptions!$B$14)))</f>
        <v/>
      </c>
      <c r="X139" s="15" t="str">
        <f>IF(C139&lt;&gt;"OK","",EDATE(M139,Assumptions!$B$16))</f>
        <v/>
      </c>
    </row>
    <row r="140" spans="1:24" ht="22" customHeight="1">
      <c r="A140" s="11" t="str">
        <f>IF('Case inputs'!A140="","",'Case inputs'!A140)</f>
        <v/>
      </c>
      <c r="B140" s="11" t="str">
        <f>IF(A140="","",'Case inputs'!C140)</f>
        <v/>
      </c>
      <c r="C140" s="11" t="str">
        <f>IF('Case inputs'!I140="","",IF(Assumptions!$B$38&lt;&gt;"OK","ASSUMPTIONS INVALID",'Case inputs'!I140))</f>
        <v/>
      </c>
      <c r="D140" s="11" t="str">
        <f>IF(C140&lt;&gt;"OK","",VLOOKUP('Case inputs'!E140,Benchmarks!$A$6:$C$164,3,FALSE))</f>
        <v/>
      </c>
      <c r="E140" s="11" t="str">
        <f>IF(C140&lt;&gt;"OK","",Assumptions!$B$5-'Case inputs'!D140)</f>
        <v/>
      </c>
      <c r="F140" s="15" t="str">
        <f>IF(C140&lt;&gt;"OK","",IF(B140="INITIAL",'Case inputs'!D140+Assumptions!$B$10,IF(B140="RECON",'Case inputs'!D140+Assumptions!$B$11,EDATE('Case inputs'!D140,INT(D140))+ROUND(MOD(D140,1)*30.44,0))))</f>
        <v/>
      </c>
      <c r="G140" s="11" t="str">
        <f>IF(C140&lt;&gt;"OK","",IF(AND(B140="HEARING",'Case inputs'!F140&lt;&gt;"",'Case inputs'!F140&gt;=Assumptions!$B$5),"SCHEDULED",IF('Case inputs'!G140&lt;&gt;"","REVIEWED OVERRIDE",IF(F140&lt;Assumptions!$B$5,"OVERDUE: FUTURE WINDOW","BENCHMARK SCENARIO"))))</f>
        <v/>
      </c>
      <c r="H140" s="15" t="str">
        <f>IF(C140&lt;&gt;"OK","",IF(G140="SCHEDULED",'Case inputs'!F140,IF('Case inputs'!G140&lt;&gt;"",'Case inputs'!G140,IF(F140&lt;Assumptions!$B$5,EDATE(Assumptions!$B$5,Assumptions!$B$17),F140))))</f>
        <v/>
      </c>
      <c r="I140" s="16" t="str">
        <f t="shared" si="8"/>
        <v/>
      </c>
      <c r="J140" s="15" t="str">
        <f>IF(C140&lt;&gt;"OK","",IF(B140="INITIAL",EDATE(I140,Assumptions!$B$12)+Assumptions!$B$11,IF(B140="RECON",H140,"")))</f>
        <v/>
      </c>
      <c r="K140" s="15" t="str">
        <f>IF(C140&lt;&gt;"OK","",IF(B140="HEARING",'Case inputs'!D140,EDATE(J140,Assumptions!$B$13)))</f>
        <v/>
      </c>
      <c r="L140" s="15" t="str">
        <f>IF(C140&lt;&gt;"OK","",IF(G140="SCHEDULED",H140,EDATE(IF(B140="HEARING",H140,EDATE(K140,INT(D140))+ROUND(MOD(D140,1)*30.44,0)),Assumptions!$B$18)))</f>
        <v/>
      </c>
      <c r="M140" s="15" t="str">
        <f>IF(C140&lt;&gt;"OK","",EDATE(L140,Assumptions!$B$15))</f>
        <v/>
      </c>
      <c r="N140" s="17" t="str">
        <f>IF(C140&lt;&gt;"OK","",IF(B140="INITIAL",Assumptions!$B$21,0))</f>
        <v/>
      </c>
      <c r="O140" s="17" t="str">
        <f>IF(C140&lt;&gt;"OK","",IF(B140="INITIAL",(1-Assumptions!$B$21)*Assumptions!$B$24*Assumptions!$B$22,IF(B140="RECON",Assumptions!$B$22,0)))</f>
        <v/>
      </c>
      <c r="P140" s="17" t="str">
        <f>IF(C140&lt;&gt;"OK","",IF(B140="INITIAL",(1-Assumptions!$B$21)*Assumptions!$B$24*(1-Assumptions!$B$22)*Assumptions!$B$25,IF(B140="RECON",(1-Assumptions!$B$22)*Assumptions!$B$25,1)))</f>
        <v/>
      </c>
      <c r="Q140" s="17" t="str">
        <f>IF(C140&lt;&gt;"OK","",IF(B140="INITIAL",(1-Assumptions!$B$21)*(1-Assumptions!$B$24),0))</f>
        <v/>
      </c>
      <c r="R140" s="17" t="str">
        <f>IF(C140&lt;&gt;"OK","",IF(B140="INITIAL",(1-Assumptions!$B$21)*Assumptions!$B$24*(1-Assumptions!$B$22)*(1-Assumptions!$B$25),IF(B140="RECON",(1-Assumptions!$B$22)*(1-Assumptions!$B$25),0)))</f>
        <v/>
      </c>
      <c r="S140" s="17" t="str">
        <f>IF(C140&lt;&gt;"OK","",P140*Assumptions!$B$23)</f>
        <v/>
      </c>
      <c r="T140" s="17" t="str">
        <f>IF(C140&lt;&gt;"OK","",P140*(1-Assumptions!$B$23))</f>
        <v/>
      </c>
      <c r="U140" s="18" t="str">
        <f t="shared" si="9"/>
        <v/>
      </c>
      <c r="V140" s="15" t="str">
        <f>IF(C140&lt;&gt;"OK","",IF(B140="INITIAL",EDATE(I140,Assumptions!$B$14),""))</f>
        <v/>
      </c>
      <c r="W140" s="15" t="str">
        <f>IF(C140&lt;&gt;"OK","",IF(B140="HEARING","",EDATE(J140,Assumptions!$B$14)))</f>
        <v/>
      </c>
      <c r="X140" s="15" t="str">
        <f>IF(C140&lt;&gt;"OK","",EDATE(M140,Assumptions!$B$16))</f>
        <v/>
      </c>
    </row>
    <row r="141" spans="1:24" ht="22" customHeight="1">
      <c r="A141" s="11" t="str">
        <f>IF('Case inputs'!A141="","",'Case inputs'!A141)</f>
        <v/>
      </c>
      <c r="B141" s="11" t="str">
        <f>IF(A141="","",'Case inputs'!C141)</f>
        <v/>
      </c>
      <c r="C141" s="11" t="str">
        <f>IF('Case inputs'!I141="","",IF(Assumptions!$B$38&lt;&gt;"OK","ASSUMPTIONS INVALID",'Case inputs'!I141))</f>
        <v/>
      </c>
      <c r="D141" s="11" t="str">
        <f>IF(C141&lt;&gt;"OK","",VLOOKUP('Case inputs'!E141,Benchmarks!$A$6:$C$164,3,FALSE))</f>
        <v/>
      </c>
      <c r="E141" s="11" t="str">
        <f>IF(C141&lt;&gt;"OK","",Assumptions!$B$5-'Case inputs'!D141)</f>
        <v/>
      </c>
      <c r="F141" s="15" t="str">
        <f>IF(C141&lt;&gt;"OK","",IF(B141="INITIAL",'Case inputs'!D141+Assumptions!$B$10,IF(B141="RECON",'Case inputs'!D141+Assumptions!$B$11,EDATE('Case inputs'!D141,INT(D141))+ROUND(MOD(D141,1)*30.44,0))))</f>
        <v/>
      </c>
      <c r="G141" s="11" t="str">
        <f>IF(C141&lt;&gt;"OK","",IF(AND(B141="HEARING",'Case inputs'!F141&lt;&gt;"",'Case inputs'!F141&gt;=Assumptions!$B$5),"SCHEDULED",IF('Case inputs'!G141&lt;&gt;"","REVIEWED OVERRIDE",IF(F141&lt;Assumptions!$B$5,"OVERDUE: FUTURE WINDOW","BENCHMARK SCENARIO"))))</f>
        <v/>
      </c>
      <c r="H141" s="15" t="str">
        <f>IF(C141&lt;&gt;"OK","",IF(G141="SCHEDULED",'Case inputs'!F141,IF('Case inputs'!G141&lt;&gt;"",'Case inputs'!G141,IF(F141&lt;Assumptions!$B$5,EDATE(Assumptions!$B$5,Assumptions!$B$17),F141))))</f>
        <v/>
      </c>
      <c r="I141" s="16" t="str">
        <f t="shared" si="8"/>
        <v/>
      </c>
      <c r="J141" s="15" t="str">
        <f>IF(C141&lt;&gt;"OK","",IF(B141="INITIAL",EDATE(I141,Assumptions!$B$12)+Assumptions!$B$11,IF(B141="RECON",H141,"")))</f>
        <v/>
      </c>
      <c r="K141" s="15" t="str">
        <f>IF(C141&lt;&gt;"OK","",IF(B141="HEARING",'Case inputs'!D141,EDATE(J141,Assumptions!$B$13)))</f>
        <v/>
      </c>
      <c r="L141" s="15" t="str">
        <f>IF(C141&lt;&gt;"OK","",IF(G141="SCHEDULED",H141,EDATE(IF(B141="HEARING",H141,EDATE(K141,INT(D141))+ROUND(MOD(D141,1)*30.44,0)),Assumptions!$B$18)))</f>
        <v/>
      </c>
      <c r="M141" s="15" t="str">
        <f>IF(C141&lt;&gt;"OK","",EDATE(L141,Assumptions!$B$15))</f>
        <v/>
      </c>
      <c r="N141" s="17" t="str">
        <f>IF(C141&lt;&gt;"OK","",IF(B141="INITIAL",Assumptions!$B$21,0))</f>
        <v/>
      </c>
      <c r="O141" s="17" t="str">
        <f>IF(C141&lt;&gt;"OK","",IF(B141="INITIAL",(1-Assumptions!$B$21)*Assumptions!$B$24*Assumptions!$B$22,IF(B141="RECON",Assumptions!$B$22,0)))</f>
        <v/>
      </c>
      <c r="P141" s="17" t="str">
        <f>IF(C141&lt;&gt;"OK","",IF(B141="INITIAL",(1-Assumptions!$B$21)*Assumptions!$B$24*(1-Assumptions!$B$22)*Assumptions!$B$25,IF(B141="RECON",(1-Assumptions!$B$22)*Assumptions!$B$25,1)))</f>
        <v/>
      </c>
      <c r="Q141" s="17" t="str">
        <f>IF(C141&lt;&gt;"OK","",IF(B141="INITIAL",(1-Assumptions!$B$21)*(1-Assumptions!$B$24),0))</f>
        <v/>
      </c>
      <c r="R141" s="17" t="str">
        <f>IF(C141&lt;&gt;"OK","",IF(B141="INITIAL",(1-Assumptions!$B$21)*Assumptions!$B$24*(1-Assumptions!$B$22)*(1-Assumptions!$B$25),IF(B141="RECON",(1-Assumptions!$B$22)*(1-Assumptions!$B$25),0)))</f>
        <v/>
      </c>
      <c r="S141" s="17" t="str">
        <f>IF(C141&lt;&gt;"OK","",P141*Assumptions!$B$23)</f>
        <v/>
      </c>
      <c r="T141" s="17" t="str">
        <f>IF(C141&lt;&gt;"OK","",P141*(1-Assumptions!$B$23))</f>
        <v/>
      </c>
      <c r="U141" s="18" t="str">
        <f t="shared" si="9"/>
        <v/>
      </c>
      <c r="V141" s="15" t="str">
        <f>IF(C141&lt;&gt;"OK","",IF(B141="INITIAL",EDATE(I141,Assumptions!$B$14),""))</f>
        <v/>
      </c>
      <c r="W141" s="15" t="str">
        <f>IF(C141&lt;&gt;"OK","",IF(B141="HEARING","",EDATE(J141,Assumptions!$B$14)))</f>
        <v/>
      </c>
      <c r="X141" s="15" t="str">
        <f>IF(C141&lt;&gt;"OK","",EDATE(M141,Assumptions!$B$16))</f>
        <v/>
      </c>
    </row>
    <row r="142" spans="1:24" ht="22" customHeight="1">
      <c r="A142" s="11" t="str">
        <f>IF('Case inputs'!A142="","",'Case inputs'!A142)</f>
        <v/>
      </c>
      <c r="B142" s="11" t="str">
        <f>IF(A142="","",'Case inputs'!C142)</f>
        <v/>
      </c>
      <c r="C142" s="11" t="str">
        <f>IF('Case inputs'!I142="","",IF(Assumptions!$B$38&lt;&gt;"OK","ASSUMPTIONS INVALID",'Case inputs'!I142))</f>
        <v/>
      </c>
      <c r="D142" s="11" t="str">
        <f>IF(C142&lt;&gt;"OK","",VLOOKUP('Case inputs'!E142,Benchmarks!$A$6:$C$164,3,FALSE))</f>
        <v/>
      </c>
      <c r="E142" s="11" t="str">
        <f>IF(C142&lt;&gt;"OK","",Assumptions!$B$5-'Case inputs'!D142)</f>
        <v/>
      </c>
      <c r="F142" s="15" t="str">
        <f>IF(C142&lt;&gt;"OK","",IF(B142="INITIAL",'Case inputs'!D142+Assumptions!$B$10,IF(B142="RECON",'Case inputs'!D142+Assumptions!$B$11,EDATE('Case inputs'!D142,INT(D142))+ROUND(MOD(D142,1)*30.44,0))))</f>
        <v/>
      </c>
      <c r="G142" s="11" t="str">
        <f>IF(C142&lt;&gt;"OK","",IF(AND(B142="HEARING",'Case inputs'!F142&lt;&gt;"",'Case inputs'!F142&gt;=Assumptions!$B$5),"SCHEDULED",IF('Case inputs'!G142&lt;&gt;"","REVIEWED OVERRIDE",IF(F142&lt;Assumptions!$B$5,"OVERDUE: FUTURE WINDOW","BENCHMARK SCENARIO"))))</f>
        <v/>
      </c>
      <c r="H142" s="15" t="str">
        <f>IF(C142&lt;&gt;"OK","",IF(G142="SCHEDULED",'Case inputs'!F142,IF('Case inputs'!G142&lt;&gt;"",'Case inputs'!G142,IF(F142&lt;Assumptions!$B$5,EDATE(Assumptions!$B$5,Assumptions!$B$17),F142))))</f>
        <v/>
      </c>
      <c r="I142" s="16" t="str">
        <f t="shared" si="8"/>
        <v/>
      </c>
      <c r="J142" s="15" t="str">
        <f>IF(C142&lt;&gt;"OK","",IF(B142="INITIAL",EDATE(I142,Assumptions!$B$12)+Assumptions!$B$11,IF(B142="RECON",H142,"")))</f>
        <v/>
      </c>
      <c r="K142" s="15" t="str">
        <f>IF(C142&lt;&gt;"OK","",IF(B142="HEARING",'Case inputs'!D142,EDATE(J142,Assumptions!$B$13)))</f>
        <v/>
      </c>
      <c r="L142" s="15" t="str">
        <f>IF(C142&lt;&gt;"OK","",IF(G142="SCHEDULED",H142,EDATE(IF(B142="HEARING",H142,EDATE(K142,INT(D142))+ROUND(MOD(D142,1)*30.44,0)),Assumptions!$B$18)))</f>
        <v/>
      </c>
      <c r="M142" s="15" t="str">
        <f>IF(C142&lt;&gt;"OK","",EDATE(L142,Assumptions!$B$15))</f>
        <v/>
      </c>
      <c r="N142" s="17" t="str">
        <f>IF(C142&lt;&gt;"OK","",IF(B142="INITIAL",Assumptions!$B$21,0))</f>
        <v/>
      </c>
      <c r="O142" s="17" t="str">
        <f>IF(C142&lt;&gt;"OK","",IF(B142="INITIAL",(1-Assumptions!$B$21)*Assumptions!$B$24*Assumptions!$B$22,IF(B142="RECON",Assumptions!$B$22,0)))</f>
        <v/>
      </c>
      <c r="P142" s="17" t="str">
        <f>IF(C142&lt;&gt;"OK","",IF(B142="INITIAL",(1-Assumptions!$B$21)*Assumptions!$B$24*(1-Assumptions!$B$22)*Assumptions!$B$25,IF(B142="RECON",(1-Assumptions!$B$22)*Assumptions!$B$25,1)))</f>
        <v/>
      </c>
      <c r="Q142" s="17" t="str">
        <f>IF(C142&lt;&gt;"OK","",IF(B142="INITIAL",(1-Assumptions!$B$21)*(1-Assumptions!$B$24),0))</f>
        <v/>
      </c>
      <c r="R142" s="17" t="str">
        <f>IF(C142&lt;&gt;"OK","",IF(B142="INITIAL",(1-Assumptions!$B$21)*Assumptions!$B$24*(1-Assumptions!$B$22)*(1-Assumptions!$B$25),IF(B142="RECON",(1-Assumptions!$B$22)*(1-Assumptions!$B$25),0)))</f>
        <v/>
      </c>
      <c r="S142" s="17" t="str">
        <f>IF(C142&lt;&gt;"OK","",P142*Assumptions!$B$23)</f>
        <v/>
      </c>
      <c r="T142" s="17" t="str">
        <f>IF(C142&lt;&gt;"OK","",P142*(1-Assumptions!$B$23))</f>
        <v/>
      </c>
      <c r="U142" s="18" t="str">
        <f t="shared" si="9"/>
        <v/>
      </c>
      <c r="V142" s="15" t="str">
        <f>IF(C142&lt;&gt;"OK","",IF(B142="INITIAL",EDATE(I142,Assumptions!$B$14),""))</f>
        <v/>
      </c>
      <c r="W142" s="15" t="str">
        <f>IF(C142&lt;&gt;"OK","",IF(B142="HEARING","",EDATE(J142,Assumptions!$B$14)))</f>
        <v/>
      </c>
      <c r="X142" s="15" t="str">
        <f>IF(C142&lt;&gt;"OK","",EDATE(M142,Assumptions!$B$16))</f>
        <v/>
      </c>
    </row>
    <row r="143" spans="1:24" ht="22" customHeight="1">
      <c r="A143" s="11" t="str">
        <f>IF('Case inputs'!A143="","",'Case inputs'!A143)</f>
        <v/>
      </c>
      <c r="B143" s="11" t="str">
        <f>IF(A143="","",'Case inputs'!C143)</f>
        <v/>
      </c>
      <c r="C143" s="11" t="str">
        <f>IF('Case inputs'!I143="","",IF(Assumptions!$B$38&lt;&gt;"OK","ASSUMPTIONS INVALID",'Case inputs'!I143))</f>
        <v/>
      </c>
      <c r="D143" s="11" t="str">
        <f>IF(C143&lt;&gt;"OK","",VLOOKUP('Case inputs'!E143,Benchmarks!$A$6:$C$164,3,FALSE))</f>
        <v/>
      </c>
      <c r="E143" s="11" t="str">
        <f>IF(C143&lt;&gt;"OK","",Assumptions!$B$5-'Case inputs'!D143)</f>
        <v/>
      </c>
      <c r="F143" s="15" t="str">
        <f>IF(C143&lt;&gt;"OK","",IF(B143="INITIAL",'Case inputs'!D143+Assumptions!$B$10,IF(B143="RECON",'Case inputs'!D143+Assumptions!$B$11,EDATE('Case inputs'!D143,INT(D143))+ROUND(MOD(D143,1)*30.44,0))))</f>
        <v/>
      </c>
      <c r="G143" s="11" t="str">
        <f>IF(C143&lt;&gt;"OK","",IF(AND(B143="HEARING",'Case inputs'!F143&lt;&gt;"",'Case inputs'!F143&gt;=Assumptions!$B$5),"SCHEDULED",IF('Case inputs'!G143&lt;&gt;"","REVIEWED OVERRIDE",IF(F143&lt;Assumptions!$B$5,"OVERDUE: FUTURE WINDOW","BENCHMARK SCENARIO"))))</f>
        <v/>
      </c>
      <c r="H143" s="15" t="str">
        <f>IF(C143&lt;&gt;"OK","",IF(G143="SCHEDULED",'Case inputs'!F143,IF('Case inputs'!G143&lt;&gt;"",'Case inputs'!G143,IF(F143&lt;Assumptions!$B$5,EDATE(Assumptions!$B$5,Assumptions!$B$17),F143))))</f>
        <v/>
      </c>
      <c r="I143" s="16" t="str">
        <f t="shared" si="8"/>
        <v/>
      </c>
      <c r="J143" s="15" t="str">
        <f>IF(C143&lt;&gt;"OK","",IF(B143="INITIAL",EDATE(I143,Assumptions!$B$12)+Assumptions!$B$11,IF(B143="RECON",H143,"")))</f>
        <v/>
      </c>
      <c r="K143" s="15" t="str">
        <f>IF(C143&lt;&gt;"OK","",IF(B143="HEARING",'Case inputs'!D143,EDATE(J143,Assumptions!$B$13)))</f>
        <v/>
      </c>
      <c r="L143" s="15" t="str">
        <f>IF(C143&lt;&gt;"OK","",IF(G143="SCHEDULED",H143,EDATE(IF(B143="HEARING",H143,EDATE(K143,INT(D143))+ROUND(MOD(D143,1)*30.44,0)),Assumptions!$B$18)))</f>
        <v/>
      </c>
      <c r="M143" s="15" t="str">
        <f>IF(C143&lt;&gt;"OK","",EDATE(L143,Assumptions!$B$15))</f>
        <v/>
      </c>
      <c r="N143" s="17" t="str">
        <f>IF(C143&lt;&gt;"OK","",IF(B143="INITIAL",Assumptions!$B$21,0))</f>
        <v/>
      </c>
      <c r="O143" s="17" t="str">
        <f>IF(C143&lt;&gt;"OK","",IF(B143="INITIAL",(1-Assumptions!$B$21)*Assumptions!$B$24*Assumptions!$B$22,IF(B143="RECON",Assumptions!$B$22,0)))</f>
        <v/>
      </c>
      <c r="P143" s="17" t="str">
        <f>IF(C143&lt;&gt;"OK","",IF(B143="INITIAL",(1-Assumptions!$B$21)*Assumptions!$B$24*(1-Assumptions!$B$22)*Assumptions!$B$25,IF(B143="RECON",(1-Assumptions!$B$22)*Assumptions!$B$25,1)))</f>
        <v/>
      </c>
      <c r="Q143" s="17" t="str">
        <f>IF(C143&lt;&gt;"OK","",IF(B143="INITIAL",(1-Assumptions!$B$21)*(1-Assumptions!$B$24),0))</f>
        <v/>
      </c>
      <c r="R143" s="17" t="str">
        <f>IF(C143&lt;&gt;"OK","",IF(B143="INITIAL",(1-Assumptions!$B$21)*Assumptions!$B$24*(1-Assumptions!$B$22)*(1-Assumptions!$B$25),IF(B143="RECON",(1-Assumptions!$B$22)*(1-Assumptions!$B$25),0)))</f>
        <v/>
      </c>
      <c r="S143" s="17" t="str">
        <f>IF(C143&lt;&gt;"OK","",P143*Assumptions!$B$23)</f>
        <v/>
      </c>
      <c r="T143" s="17" t="str">
        <f>IF(C143&lt;&gt;"OK","",P143*(1-Assumptions!$B$23))</f>
        <v/>
      </c>
      <c r="U143" s="18" t="str">
        <f t="shared" si="9"/>
        <v/>
      </c>
      <c r="V143" s="15" t="str">
        <f>IF(C143&lt;&gt;"OK","",IF(B143="INITIAL",EDATE(I143,Assumptions!$B$14),""))</f>
        <v/>
      </c>
      <c r="W143" s="15" t="str">
        <f>IF(C143&lt;&gt;"OK","",IF(B143="HEARING","",EDATE(J143,Assumptions!$B$14)))</f>
        <v/>
      </c>
      <c r="X143" s="15" t="str">
        <f>IF(C143&lt;&gt;"OK","",EDATE(M143,Assumptions!$B$16))</f>
        <v/>
      </c>
    </row>
    <row r="144" spans="1:24" ht="22" customHeight="1">
      <c r="A144" s="11" t="str">
        <f>IF('Case inputs'!A144="","",'Case inputs'!A144)</f>
        <v/>
      </c>
      <c r="B144" s="11" t="str">
        <f>IF(A144="","",'Case inputs'!C144)</f>
        <v/>
      </c>
      <c r="C144" s="11" t="str">
        <f>IF('Case inputs'!I144="","",IF(Assumptions!$B$38&lt;&gt;"OK","ASSUMPTIONS INVALID",'Case inputs'!I144))</f>
        <v/>
      </c>
      <c r="D144" s="11" t="str">
        <f>IF(C144&lt;&gt;"OK","",VLOOKUP('Case inputs'!E144,Benchmarks!$A$6:$C$164,3,FALSE))</f>
        <v/>
      </c>
      <c r="E144" s="11" t="str">
        <f>IF(C144&lt;&gt;"OK","",Assumptions!$B$5-'Case inputs'!D144)</f>
        <v/>
      </c>
      <c r="F144" s="15" t="str">
        <f>IF(C144&lt;&gt;"OK","",IF(B144="INITIAL",'Case inputs'!D144+Assumptions!$B$10,IF(B144="RECON",'Case inputs'!D144+Assumptions!$B$11,EDATE('Case inputs'!D144,INT(D144))+ROUND(MOD(D144,1)*30.44,0))))</f>
        <v/>
      </c>
      <c r="G144" s="11" t="str">
        <f>IF(C144&lt;&gt;"OK","",IF(AND(B144="HEARING",'Case inputs'!F144&lt;&gt;"",'Case inputs'!F144&gt;=Assumptions!$B$5),"SCHEDULED",IF('Case inputs'!G144&lt;&gt;"","REVIEWED OVERRIDE",IF(F144&lt;Assumptions!$B$5,"OVERDUE: FUTURE WINDOW","BENCHMARK SCENARIO"))))</f>
        <v/>
      </c>
      <c r="H144" s="15" t="str">
        <f>IF(C144&lt;&gt;"OK","",IF(G144="SCHEDULED",'Case inputs'!F144,IF('Case inputs'!G144&lt;&gt;"",'Case inputs'!G144,IF(F144&lt;Assumptions!$B$5,EDATE(Assumptions!$B$5,Assumptions!$B$17),F144))))</f>
        <v/>
      </c>
      <c r="I144" s="16" t="str">
        <f t="shared" si="8"/>
        <v/>
      </c>
      <c r="J144" s="15" t="str">
        <f>IF(C144&lt;&gt;"OK","",IF(B144="INITIAL",EDATE(I144,Assumptions!$B$12)+Assumptions!$B$11,IF(B144="RECON",H144,"")))</f>
        <v/>
      </c>
      <c r="K144" s="15" t="str">
        <f>IF(C144&lt;&gt;"OK","",IF(B144="HEARING",'Case inputs'!D144,EDATE(J144,Assumptions!$B$13)))</f>
        <v/>
      </c>
      <c r="L144" s="15" t="str">
        <f>IF(C144&lt;&gt;"OK","",IF(G144="SCHEDULED",H144,EDATE(IF(B144="HEARING",H144,EDATE(K144,INT(D144))+ROUND(MOD(D144,1)*30.44,0)),Assumptions!$B$18)))</f>
        <v/>
      </c>
      <c r="M144" s="15" t="str">
        <f>IF(C144&lt;&gt;"OK","",EDATE(L144,Assumptions!$B$15))</f>
        <v/>
      </c>
      <c r="N144" s="17" t="str">
        <f>IF(C144&lt;&gt;"OK","",IF(B144="INITIAL",Assumptions!$B$21,0))</f>
        <v/>
      </c>
      <c r="O144" s="17" t="str">
        <f>IF(C144&lt;&gt;"OK","",IF(B144="INITIAL",(1-Assumptions!$B$21)*Assumptions!$B$24*Assumptions!$B$22,IF(B144="RECON",Assumptions!$B$22,0)))</f>
        <v/>
      </c>
      <c r="P144" s="17" t="str">
        <f>IF(C144&lt;&gt;"OK","",IF(B144="INITIAL",(1-Assumptions!$B$21)*Assumptions!$B$24*(1-Assumptions!$B$22)*Assumptions!$B$25,IF(B144="RECON",(1-Assumptions!$B$22)*Assumptions!$B$25,1)))</f>
        <v/>
      </c>
      <c r="Q144" s="17" t="str">
        <f>IF(C144&lt;&gt;"OK","",IF(B144="INITIAL",(1-Assumptions!$B$21)*(1-Assumptions!$B$24),0))</f>
        <v/>
      </c>
      <c r="R144" s="17" t="str">
        <f>IF(C144&lt;&gt;"OK","",IF(B144="INITIAL",(1-Assumptions!$B$21)*Assumptions!$B$24*(1-Assumptions!$B$22)*(1-Assumptions!$B$25),IF(B144="RECON",(1-Assumptions!$B$22)*(1-Assumptions!$B$25),0)))</f>
        <v/>
      </c>
      <c r="S144" s="17" t="str">
        <f>IF(C144&lt;&gt;"OK","",P144*Assumptions!$B$23)</f>
        <v/>
      </c>
      <c r="T144" s="17" t="str">
        <f>IF(C144&lt;&gt;"OK","",P144*(1-Assumptions!$B$23))</f>
        <v/>
      </c>
      <c r="U144" s="18" t="str">
        <f t="shared" si="9"/>
        <v/>
      </c>
      <c r="V144" s="15" t="str">
        <f>IF(C144&lt;&gt;"OK","",IF(B144="INITIAL",EDATE(I144,Assumptions!$B$14),""))</f>
        <v/>
      </c>
      <c r="W144" s="15" t="str">
        <f>IF(C144&lt;&gt;"OK","",IF(B144="HEARING","",EDATE(J144,Assumptions!$B$14)))</f>
        <v/>
      </c>
      <c r="X144" s="15" t="str">
        <f>IF(C144&lt;&gt;"OK","",EDATE(M144,Assumptions!$B$16))</f>
        <v/>
      </c>
    </row>
    <row r="145" spans="1:24" ht="22" customHeight="1">
      <c r="A145" s="11" t="str">
        <f>IF('Case inputs'!A145="","",'Case inputs'!A145)</f>
        <v/>
      </c>
      <c r="B145" s="11" t="str">
        <f>IF(A145="","",'Case inputs'!C145)</f>
        <v/>
      </c>
      <c r="C145" s="11" t="str">
        <f>IF('Case inputs'!I145="","",IF(Assumptions!$B$38&lt;&gt;"OK","ASSUMPTIONS INVALID",'Case inputs'!I145))</f>
        <v/>
      </c>
      <c r="D145" s="11" t="str">
        <f>IF(C145&lt;&gt;"OK","",VLOOKUP('Case inputs'!E145,Benchmarks!$A$6:$C$164,3,FALSE))</f>
        <v/>
      </c>
      <c r="E145" s="11" t="str">
        <f>IF(C145&lt;&gt;"OK","",Assumptions!$B$5-'Case inputs'!D145)</f>
        <v/>
      </c>
      <c r="F145" s="15" t="str">
        <f>IF(C145&lt;&gt;"OK","",IF(B145="INITIAL",'Case inputs'!D145+Assumptions!$B$10,IF(B145="RECON",'Case inputs'!D145+Assumptions!$B$11,EDATE('Case inputs'!D145,INT(D145))+ROUND(MOD(D145,1)*30.44,0))))</f>
        <v/>
      </c>
      <c r="G145" s="11" t="str">
        <f>IF(C145&lt;&gt;"OK","",IF(AND(B145="HEARING",'Case inputs'!F145&lt;&gt;"",'Case inputs'!F145&gt;=Assumptions!$B$5),"SCHEDULED",IF('Case inputs'!G145&lt;&gt;"","REVIEWED OVERRIDE",IF(F145&lt;Assumptions!$B$5,"OVERDUE: FUTURE WINDOW","BENCHMARK SCENARIO"))))</f>
        <v/>
      </c>
      <c r="H145" s="15" t="str">
        <f>IF(C145&lt;&gt;"OK","",IF(G145="SCHEDULED",'Case inputs'!F145,IF('Case inputs'!G145&lt;&gt;"",'Case inputs'!G145,IF(F145&lt;Assumptions!$B$5,EDATE(Assumptions!$B$5,Assumptions!$B$17),F145))))</f>
        <v/>
      </c>
      <c r="I145" s="16" t="str">
        <f t="shared" si="8"/>
        <v/>
      </c>
      <c r="J145" s="15" t="str">
        <f>IF(C145&lt;&gt;"OK","",IF(B145="INITIAL",EDATE(I145,Assumptions!$B$12)+Assumptions!$B$11,IF(B145="RECON",H145,"")))</f>
        <v/>
      </c>
      <c r="K145" s="15" t="str">
        <f>IF(C145&lt;&gt;"OK","",IF(B145="HEARING",'Case inputs'!D145,EDATE(J145,Assumptions!$B$13)))</f>
        <v/>
      </c>
      <c r="L145" s="15" t="str">
        <f>IF(C145&lt;&gt;"OK","",IF(G145="SCHEDULED",H145,EDATE(IF(B145="HEARING",H145,EDATE(K145,INT(D145))+ROUND(MOD(D145,1)*30.44,0)),Assumptions!$B$18)))</f>
        <v/>
      </c>
      <c r="M145" s="15" t="str">
        <f>IF(C145&lt;&gt;"OK","",EDATE(L145,Assumptions!$B$15))</f>
        <v/>
      </c>
      <c r="N145" s="17" t="str">
        <f>IF(C145&lt;&gt;"OK","",IF(B145="INITIAL",Assumptions!$B$21,0))</f>
        <v/>
      </c>
      <c r="O145" s="17" t="str">
        <f>IF(C145&lt;&gt;"OK","",IF(B145="INITIAL",(1-Assumptions!$B$21)*Assumptions!$B$24*Assumptions!$B$22,IF(B145="RECON",Assumptions!$B$22,0)))</f>
        <v/>
      </c>
      <c r="P145" s="17" t="str">
        <f>IF(C145&lt;&gt;"OK","",IF(B145="INITIAL",(1-Assumptions!$B$21)*Assumptions!$B$24*(1-Assumptions!$B$22)*Assumptions!$B$25,IF(B145="RECON",(1-Assumptions!$B$22)*Assumptions!$B$25,1)))</f>
        <v/>
      </c>
      <c r="Q145" s="17" t="str">
        <f>IF(C145&lt;&gt;"OK","",IF(B145="INITIAL",(1-Assumptions!$B$21)*(1-Assumptions!$B$24),0))</f>
        <v/>
      </c>
      <c r="R145" s="17" t="str">
        <f>IF(C145&lt;&gt;"OK","",IF(B145="INITIAL",(1-Assumptions!$B$21)*Assumptions!$B$24*(1-Assumptions!$B$22)*(1-Assumptions!$B$25),IF(B145="RECON",(1-Assumptions!$B$22)*(1-Assumptions!$B$25),0)))</f>
        <v/>
      </c>
      <c r="S145" s="17" t="str">
        <f>IF(C145&lt;&gt;"OK","",P145*Assumptions!$B$23)</f>
        <v/>
      </c>
      <c r="T145" s="17" t="str">
        <f>IF(C145&lt;&gt;"OK","",P145*(1-Assumptions!$B$23))</f>
        <v/>
      </c>
      <c r="U145" s="18" t="str">
        <f t="shared" si="9"/>
        <v/>
      </c>
      <c r="V145" s="15" t="str">
        <f>IF(C145&lt;&gt;"OK","",IF(B145="INITIAL",EDATE(I145,Assumptions!$B$14),""))</f>
        <v/>
      </c>
      <c r="W145" s="15" t="str">
        <f>IF(C145&lt;&gt;"OK","",IF(B145="HEARING","",EDATE(J145,Assumptions!$B$14)))</f>
        <v/>
      </c>
      <c r="X145" s="15" t="str">
        <f>IF(C145&lt;&gt;"OK","",EDATE(M145,Assumptions!$B$16))</f>
        <v/>
      </c>
    </row>
    <row r="146" spans="1:24" ht="22" customHeight="1">
      <c r="A146" s="11" t="str">
        <f>IF('Case inputs'!A146="","",'Case inputs'!A146)</f>
        <v/>
      </c>
      <c r="B146" s="11" t="str">
        <f>IF(A146="","",'Case inputs'!C146)</f>
        <v/>
      </c>
      <c r="C146" s="11" t="str">
        <f>IF('Case inputs'!I146="","",IF(Assumptions!$B$38&lt;&gt;"OK","ASSUMPTIONS INVALID",'Case inputs'!I146))</f>
        <v/>
      </c>
      <c r="D146" s="11" t="str">
        <f>IF(C146&lt;&gt;"OK","",VLOOKUP('Case inputs'!E146,Benchmarks!$A$6:$C$164,3,FALSE))</f>
        <v/>
      </c>
      <c r="E146" s="11" t="str">
        <f>IF(C146&lt;&gt;"OK","",Assumptions!$B$5-'Case inputs'!D146)</f>
        <v/>
      </c>
      <c r="F146" s="15" t="str">
        <f>IF(C146&lt;&gt;"OK","",IF(B146="INITIAL",'Case inputs'!D146+Assumptions!$B$10,IF(B146="RECON",'Case inputs'!D146+Assumptions!$B$11,EDATE('Case inputs'!D146,INT(D146))+ROUND(MOD(D146,1)*30.44,0))))</f>
        <v/>
      </c>
      <c r="G146" s="11" t="str">
        <f>IF(C146&lt;&gt;"OK","",IF(AND(B146="HEARING",'Case inputs'!F146&lt;&gt;"",'Case inputs'!F146&gt;=Assumptions!$B$5),"SCHEDULED",IF('Case inputs'!G146&lt;&gt;"","REVIEWED OVERRIDE",IF(F146&lt;Assumptions!$B$5,"OVERDUE: FUTURE WINDOW","BENCHMARK SCENARIO"))))</f>
        <v/>
      </c>
      <c r="H146" s="15" t="str">
        <f>IF(C146&lt;&gt;"OK","",IF(G146="SCHEDULED",'Case inputs'!F146,IF('Case inputs'!G146&lt;&gt;"",'Case inputs'!G146,IF(F146&lt;Assumptions!$B$5,EDATE(Assumptions!$B$5,Assumptions!$B$17),F146))))</f>
        <v/>
      </c>
      <c r="I146" s="16" t="str">
        <f t="shared" si="8"/>
        <v/>
      </c>
      <c r="J146" s="15" t="str">
        <f>IF(C146&lt;&gt;"OK","",IF(B146="INITIAL",EDATE(I146,Assumptions!$B$12)+Assumptions!$B$11,IF(B146="RECON",H146,"")))</f>
        <v/>
      </c>
      <c r="K146" s="15" t="str">
        <f>IF(C146&lt;&gt;"OK","",IF(B146="HEARING",'Case inputs'!D146,EDATE(J146,Assumptions!$B$13)))</f>
        <v/>
      </c>
      <c r="L146" s="15" t="str">
        <f>IF(C146&lt;&gt;"OK","",IF(G146="SCHEDULED",H146,EDATE(IF(B146="HEARING",H146,EDATE(K146,INT(D146))+ROUND(MOD(D146,1)*30.44,0)),Assumptions!$B$18)))</f>
        <v/>
      </c>
      <c r="M146" s="15" t="str">
        <f>IF(C146&lt;&gt;"OK","",EDATE(L146,Assumptions!$B$15))</f>
        <v/>
      </c>
      <c r="N146" s="17" t="str">
        <f>IF(C146&lt;&gt;"OK","",IF(B146="INITIAL",Assumptions!$B$21,0))</f>
        <v/>
      </c>
      <c r="O146" s="17" t="str">
        <f>IF(C146&lt;&gt;"OK","",IF(B146="INITIAL",(1-Assumptions!$B$21)*Assumptions!$B$24*Assumptions!$B$22,IF(B146="RECON",Assumptions!$B$22,0)))</f>
        <v/>
      </c>
      <c r="P146" s="17" t="str">
        <f>IF(C146&lt;&gt;"OK","",IF(B146="INITIAL",(1-Assumptions!$B$21)*Assumptions!$B$24*(1-Assumptions!$B$22)*Assumptions!$B$25,IF(B146="RECON",(1-Assumptions!$B$22)*Assumptions!$B$25,1)))</f>
        <v/>
      </c>
      <c r="Q146" s="17" t="str">
        <f>IF(C146&lt;&gt;"OK","",IF(B146="INITIAL",(1-Assumptions!$B$21)*(1-Assumptions!$B$24),0))</f>
        <v/>
      </c>
      <c r="R146" s="17" t="str">
        <f>IF(C146&lt;&gt;"OK","",IF(B146="INITIAL",(1-Assumptions!$B$21)*Assumptions!$B$24*(1-Assumptions!$B$22)*(1-Assumptions!$B$25),IF(B146="RECON",(1-Assumptions!$B$22)*(1-Assumptions!$B$25),0)))</f>
        <v/>
      </c>
      <c r="S146" s="17" t="str">
        <f>IF(C146&lt;&gt;"OK","",P146*Assumptions!$B$23)</f>
        <v/>
      </c>
      <c r="T146" s="17" t="str">
        <f>IF(C146&lt;&gt;"OK","",P146*(1-Assumptions!$B$23))</f>
        <v/>
      </c>
      <c r="U146" s="18" t="str">
        <f t="shared" si="9"/>
        <v/>
      </c>
      <c r="V146" s="15" t="str">
        <f>IF(C146&lt;&gt;"OK","",IF(B146="INITIAL",EDATE(I146,Assumptions!$B$14),""))</f>
        <v/>
      </c>
      <c r="W146" s="15" t="str">
        <f>IF(C146&lt;&gt;"OK","",IF(B146="HEARING","",EDATE(J146,Assumptions!$B$14)))</f>
        <v/>
      </c>
      <c r="X146" s="15" t="str">
        <f>IF(C146&lt;&gt;"OK","",EDATE(M146,Assumptions!$B$16))</f>
        <v/>
      </c>
    </row>
    <row r="147" spans="1:24" ht="22" customHeight="1">
      <c r="A147" s="11" t="str">
        <f>IF('Case inputs'!A147="","",'Case inputs'!A147)</f>
        <v/>
      </c>
      <c r="B147" s="11" t="str">
        <f>IF(A147="","",'Case inputs'!C147)</f>
        <v/>
      </c>
      <c r="C147" s="11" t="str">
        <f>IF('Case inputs'!I147="","",IF(Assumptions!$B$38&lt;&gt;"OK","ASSUMPTIONS INVALID",'Case inputs'!I147))</f>
        <v/>
      </c>
      <c r="D147" s="11" t="str">
        <f>IF(C147&lt;&gt;"OK","",VLOOKUP('Case inputs'!E147,Benchmarks!$A$6:$C$164,3,FALSE))</f>
        <v/>
      </c>
      <c r="E147" s="11" t="str">
        <f>IF(C147&lt;&gt;"OK","",Assumptions!$B$5-'Case inputs'!D147)</f>
        <v/>
      </c>
      <c r="F147" s="15" t="str">
        <f>IF(C147&lt;&gt;"OK","",IF(B147="INITIAL",'Case inputs'!D147+Assumptions!$B$10,IF(B147="RECON",'Case inputs'!D147+Assumptions!$B$11,EDATE('Case inputs'!D147,INT(D147))+ROUND(MOD(D147,1)*30.44,0))))</f>
        <v/>
      </c>
      <c r="G147" s="11" t="str">
        <f>IF(C147&lt;&gt;"OK","",IF(AND(B147="HEARING",'Case inputs'!F147&lt;&gt;"",'Case inputs'!F147&gt;=Assumptions!$B$5),"SCHEDULED",IF('Case inputs'!G147&lt;&gt;"","REVIEWED OVERRIDE",IF(F147&lt;Assumptions!$B$5,"OVERDUE: FUTURE WINDOW","BENCHMARK SCENARIO"))))</f>
        <v/>
      </c>
      <c r="H147" s="15" t="str">
        <f>IF(C147&lt;&gt;"OK","",IF(G147="SCHEDULED",'Case inputs'!F147,IF('Case inputs'!G147&lt;&gt;"",'Case inputs'!G147,IF(F147&lt;Assumptions!$B$5,EDATE(Assumptions!$B$5,Assumptions!$B$17),F147))))</f>
        <v/>
      </c>
      <c r="I147" s="16" t="str">
        <f t="shared" si="8"/>
        <v/>
      </c>
      <c r="J147" s="15" t="str">
        <f>IF(C147&lt;&gt;"OK","",IF(B147="INITIAL",EDATE(I147,Assumptions!$B$12)+Assumptions!$B$11,IF(B147="RECON",H147,"")))</f>
        <v/>
      </c>
      <c r="K147" s="15" t="str">
        <f>IF(C147&lt;&gt;"OK","",IF(B147="HEARING",'Case inputs'!D147,EDATE(J147,Assumptions!$B$13)))</f>
        <v/>
      </c>
      <c r="L147" s="15" t="str">
        <f>IF(C147&lt;&gt;"OK","",IF(G147="SCHEDULED",H147,EDATE(IF(B147="HEARING",H147,EDATE(K147,INT(D147))+ROUND(MOD(D147,1)*30.44,0)),Assumptions!$B$18)))</f>
        <v/>
      </c>
      <c r="M147" s="15" t="str">
        <f>IF(C147&lt;&gt;"OK","",EDATE(L147,Assumptions!$B$15))</f>
        <v/>
      </c>
      <c r="N147" s="17" t="str">
        <f>IF(C147&lt;&gt;"OK","",IF(B147="INITIAL",Assumptions!$B$21,0))</f>
        <v/>
      </c>
      <c r="O147" s="17" t="str">
        <f>IF(C147&lt;&gt;"OK","",IF(B147="INITIAL",(1-Assumptions!$B$21)*Assumptions!$B$24*Assumptions!$B$22,IF(B147="RECON",Assumptions!$B$22,0)))</f>
        <v/>
      </c>
      <c r="P147" s="17" t="str">
        <f>IF(C147&lt;&gt;"OK","",IF(B147="INITIAL",(1-Assumptions!$B$21)*Assumptions!$B$24*(1-Assumptions!$B$22)*Assumptions!$B$25,IF(B147="RECON",(1-Assumptions!$B$22)*Assumptions!$B$25,1)))</f>
        <v/>
      </c>
      <c r="Q147" s="17" t="str">
        <f>IF(C147&lt;&gt;"OK","",IF(B147="INITIAL",(1-Assumptions!$B$21)*(1-Assumptions!$B$24),0))</f>
        <v/>
      </c>
      <c r="R147" s="17" t="str">
        <f>IF(C147&lt;&gt;"OK","",IF(B147="INITIAL",(1-Assumptions!$B$21)*Assumptions!$B$24*(1-Assumptions!$B$22)*(1-Assumptions!$B$25),IF(B147="RECON",(1-Assumptions!$B$22)*(1-Assumptions!$B$25),0)))</f>
        <v/>
      </c>
      <c r="S147" s="17" t="str">
        <f>IF(C147&lt;&gt;"OK","",P147*Assumptions!$B$23)</f>
        <v/>
      </c>
      <c r="T147" s="17" t="str">
        <f>IF(C147&lt;&gt;"OK","",P147*(1-Assumptions!$B$23))</f>
        <v/>
      </c>
      <c r="U147" s="18" t="str">
        <f t="shared" si="9"/>
        <v/>
      </c>
      <c r="V147" s="15" t="str">
        <f>IF(C147&lt;&gt;"OK","",IF(B147="INITIAL",EDATE(I147,Assumptions!$B$14),""))</f>
        <v/>
      </c>
      <c r="W147" s="15" t="str">
        <f>IF(C147&lt;&gt;"OK","",IF(B147="HEARING","",EDATE(J147,Assumptions!$B$14)))</f>
        <v/>
      </c>
      <c r="X147" s="15" t="str">
        <f>IF(C147&lt;&gt;"OK","",EDATE(M147,Assumptions!$B$16))</f>
        <v/>
      </c>
    </row>
    <row r="148" spans="1:24" ht="22" customHeight="1">
      <c r="A148" s="11" t="str">
        <f>IF('Case inputs'!A148="","",'Case inputs'!A148)</f>
        <v/>
      </c>
      <c r="B148" s="11" t="str">
        <f>IF(A148="","",'Case inputs'!C148)</f>
        <v/>
      </c>
      <c r="C148" s="11" t="str">
        <f>IF('Case inputs'!I148="","",IF(Assumptions!$B$38&lt;&gt;"OK","ASSUMPTIONS INVALID",'Case inputs'!I148))</f>
        <v/>
      </c>
      <c r="D148" s="11" t="str">
        <f>IF(C148&lt;&gt;"OK","",VLOOKUP('Case inputs'!E148,Benchmarks!$A$6:$C$164,3,FALSE))</f>
        <v/>
      </c>
      <c r="E148" s="11" t="str">
        <f>IF(C148&lt;&gt;"OK","",Assumptions!$B$5-'Case inputs'!D148)</f>
        <v/>
      </c>
      <c r="F148" s="15" t="str">
        <f>IF(C148&lt;&gt;"OK","",IF(B148="INITIAL",'Case inputs'!D148+Assumptions!$B$10,IF(B148="RECON",'Case inputs'!D148+Assumptions!$B$11,EDATE('Case inputs'!D148,INT(D148))+ROUND(MOD(D148,1)*30.44,0))))</f>
        <v/>
      </c>
      <c r="G148" s="11" t="str">
        <f>IF(C148&lt;&gt;"OK","",IF(AND(B148="HEARING",'Case inputs'!F148&lt;&gt;"",'Case inputs'!F148&gt;=Assumptions!$B$5),"SCHEDULED",IF('Case inputs'!G148&lt;&gt;"","REVIEWED OVERRIDE",IF(F148&lt;Assumptions!$B$5,"OVERDUE: FUTURE WINDOW","BENCHMARK SCENARIO"))))</f>
        <v/>
      </c>
      <c r="H148" s="15" t="str">
        <f>IF(C148&lt;&gt;"OK","",IF(G148="SCHEDULED",'Case inputs'!F148,IF('Case inputs'!G148&lt;&gt;"",'Case inputs'!G148,IF(F148&lt;Assumptions!$B$5,EDATE(Assumptions!$B$5,Assumptions!$B$17),F148))))</f>
        <v/>
      </c>
      <c r="I148" s="16" t="str">
        <f t="shared" si="8"/>
        <v/>
      </c>
      <c r="J148" s="15" t="str">
        <f>IF(C148&lt;&gt;"OK","",IF(B148="INITIAL",EDATE(I148,Assumptions!$B$12)+Assumptions!$B$11,IF(B148="RECON",H148,"")))</f>
        <v/>
      </c>
      <c r="K148" s="15" t="str">
        <f>IF(C148&lt;&gt;"OK","",IF(B148="HEARING",'Case inputs'!D148,EDATE(J148,Assumptions!$B$13)))</f>
        <v/>
      </c>
      <c r="L148" s="15" t="str">
        <f>IF(C148&lt;&gt;"OK","",IF(G148="SCHEDULED",H148,EDATE(IF(B148="HEARING",H148,EDATE(K148,INT(D148))+ROUND(MOD(D148,1)*30.44,0)),Assumptions!$B$18)))</f>
        <v/>
      </c>
      <c r="M148" s="15" t="str">
        <f>IF(C148&lt;&gt;"OK","",EDATE(L148,Assumptions!$B$15))</f>
        <v/>
      </c>
      <c r="N148" s="17" t="str">
        <f>IF(C148&lt;&gt;"OK","",IF(B148="INITIAL",Assumptions!$B$21,0))</f>
        <v/>
      </c>
      <c r="O148" s="17" t="str">
        <f>IF(C148&lt;&gt;"OK","",IF(B148="INITIAL",(1-Assumptions!$B$21)*Assumptions!$B$24*Assumptions!$B$22,IF(B148="RECON",Assumptions!$B$22,0)))</f>
        <v/>
      </c>
      <c r="P148" s="17" t="str">
        <f>IF(C148&lt;&gt;"OK","",IF(B148="INITIAL",(1-Assumptions!$B$21)*Assumptions!$B$24*(1-Assumptions!$B$22)*Assumptions!$B$25,IF(B148="RECON",(1-Assumptions!$B$22)*Assumptions!$B$25,1)))</f>
        <v/>
      </c>
      <c r="Q148" s="17" t="str">
        <f>IF(C148&lt;&gt;"OK","",IF(B148="INITIAL",(1-Assumptions!$B$21)*(1-Assumptions!$B$24),0))</f>
        <v/>
      </c>
      <c r="R148" s="17" t="str">
        <f>IF(C148&lt;&gt;"OK","",IF(B148="INITIAL",(1-Assumptions!$B$21)*Assumptions!$B$24*(1-Assumptions!$B$22)*(1-Assumptions!$B$25),IF(B148="RECON",(1-Assumptions!$B$22)*(1-Assumptions!$B$25),0)))</f>
        <v/>
      </c>
      <c r="S148" s="17" t="str">
        <f>IF(C148&lt;&gt;"OK","",P148*Assumptions!$B$23)</f>
        <v/>
      </c>
      <c r="T148" s="17" t="str">
        <f>IF(C148&lt;&gt;"OK","",P148*(1-Assumptions!$B$23))</f>
        <v/>
      </c>
      <c r="U148" s="18" t="str">
        <f t="shared" si="9"/>
        <v/>
      </c>
      <c r="V148" s="15" t="str">
        <f>IF(C148&lt;&gt;"OK","",IF(B148="INITIAL",EDATE(I148,Assumptions!$B$14),""))</f>
        <v/>
      </c>
      <c r="W148" s="15" t="str">
        <f>IF(C148&lt;&gt;"OK","",IF(B148="HEARING","",EDATE(J148,Assumptions!$B$14)))</f>
        <v/>
      </c>
      <c r="X148" s="15" t="str">
        <f>IF(C148&lt;&gt;"OK","",EDATE(M148,Assumptions!$B$16))</f>
        <v/>
      </c>
    </row>
    <row r="149" spans="1:24" ht="22" customHeight="1">
      <c r="A149" s="11" t="str">
        <f>IF('Case inputs'!A149="","",'Case inputs'!A149)</f>
        <v/>
      </c>
      <c r="B149" s="11" t="str">
        <f>IF(A149="","",'Case inputs'!C149)</f>
        <v/>
      </c>
      <c r="C149" s="11" t="str">
        <f>IF('Case inputs'!I149="","",IF(Assumptions!$B$38&lt;&gt;"OK","ASSUMPTIONS INVALID",'Case inputs'!I149))</f>
        <v/>
      </c>
      <c r="D149" s="11" t="str">
        <f>IF(C149&lt;&gt;"OK","",VLOOKUP('Case inputs'!E149,Benchmarks!$A$6:$C$164,3,FALSE))</f>
        <v/>
      </c>
      <c r="E149" s="11" t="str">
        <f>IF(C149&lt;&gt;"OK","",Assumptions!$B$5-'Case inputs'!D149)</f>
        <v/>
      </c>
      <c r="F149" s="15" t="str">
        <f>IF(C149&lt;&gt;"OK","",IF(B149="INITIAL",'Case inputs'!D149+Assumptions!$B$10,IF(B149="RECON",'Case inputs'!D149+Assumptions!$B$11,EDATE('Case inputs'!D149,INT(D149))+ROUND(MOD(D149,1)*30.44,0))))</f>
        <v/>
      </c>
      <c r="G149" s="11" t="str">
        <f>IF(C149&lt;&gt;"OK","",IF(AND(B149="HEARING",'Case inputs'!F149&lt;&gt;"",'Case inputs'!F149&gt;=Assumptions!$B$5),"SCHEDULED",IF('Case inputs'!G149&lt;&gt;"","REVIEWED OVERRIDE",IF(F149&lt;Assumptions!$B$5,"OVERDUE: FUTURE WINDOW","BENCHMARK SCENARIO"))))</f>
        <v/>
      </c>
      <c r="H149" s="15" t="str">
        <f>IF(C149&lt;&gt;"OK","",IF(G149="SCHEDULED",'Case inputs'!F149,IF('Case inputs'!G149&lt;&gt;"",'Case inputs'!G149,IF(F149&lt;Assumptions!$B$5,EDATE(Assumptions!$B$5,Assumptions!$B$17),F149))))</f>
        <v/>
      </c>
      <c r="I149" s="16" t="str">
        <f t="shared" si="8"/>
        <v/>
      </c>
      <c r="J149" s="15" t="str">
        <f>IF(C149&lt;&gt;"OK","",IF(B149="INITIAL",EDATE(I149,Assumptions!$B$12)+Assumptions!$B$11,IF(B149="RECON",H149,"")))</f>
        <v/>
      </c>
      <c r="K149" s="15" t="str">
        <f>IF(C149&lt;&gt;"OK","",IF(B149="HEARING",'Case inputs'!D149,EDATE(J149,Assumptions!$B$13)))</f>
        <v/>
      </c>
      <c r="L149" s="15" t="str">
        <f>IF(C149&lt;&gt;"OK","",IF(G149="SCHEDULED",H149,EDATE(IF(B149="HEARING",H149,EDATE(K149,INT(D149))+ROUND(MOD(D149,1)*30.44,0)),Assumptions!$B$18)))</f>
        <v/>
      </c>
      <c r="M149" s="15" t="str">
        <f>IF(C149&lt;&gt;"OK","",EDATE(L149,Assumptions!$B$15))</f>
        <v/>
      </c>
      <c r="N149" s="17" t="str">
        <f>IF(C149&lt;&gt;"OK","",IF(B149="INITIAL",Assumptions!$B$21,0))</f>
        <v/>
      </c>
      <c r="O149" s="17" t="str">
        <f>IF(C149&lt;&gt;"OK","",IF(B149="INITIAL",(1-Assumptions!$B$21)*Assumptions!$B$24*Assumptions!$B$22,IF(B149="RECON",Assumptions!$B$22,0)))</f>
        <v/>
      </c>
      <c r="P149" s="17" t="str">
        <f>IF(C149&lt;&gt;"OK","",IF(B149="INITIAL",(1-Assumptions!$B$21)*Assumptions!$B$24*(1-Assumptions!$B$22)*Assumptions!$B$25,IF(B149="RECON",(1-Assumptions!$B$22)*Assumptions!$B$25,1)))</f>
        <v/>
      </c>
      <c r="Q149" s="17" t="str">
        <f>IF(C149&lt;&gt;"OK","",IF(B149="INITIAL",(1-Assumptions!$B$21)*(1-Assumptions!$B$24),0))</f>
        <v/>
      </c>
      <c r="R149" s="17" t="str">
        <f>IF(C149&lt;&gt;"OK","",IF(B149="INITIAL",(1-Assumptions!$B$21)*Assumptions!$B$24*(1-Assumptions!$B$22)*(1-Assumptions!$B$25),IF(B149="RECON",(1-Assumptions!$B$22)*(1-Assumptions!$B$25),0)))</f>
        <v/>
      </c>
      <c r="S149" s="17" t="str">
        <f>IF(C149&lt;&gt;"OK","",P149*Assumptions!$B$23)</f>
        <v/>
      </c>
      <c r="T149" s="17" t="str">
        <f>IF(C149&lt;&gt;"OK","",P149*(1-Assumptions!$B$23))</f>
        <v/>
      </c>
      <c r="U149" s="18" t="str">
        <f t="shared" si="9"/>
        <v/>
      </c>
      <c r="V149" s="15" t="str">
        <f>IF(C149&lt;&gt;"OK","",IF(B149="INITIAL",EDATE(I149,Assumptions!$B$14),""))</f>
        <v/>
      </c>
      <c r="W149" s="15" t="str">
        <f>IF(C149&lt;&gt;"OK","",IF(B149="HEARING","",EDATE(J149,Assumptions!$B$14)))</f>
        <v/>
      </c>
      <c r="X149" s="15" t="str">
        <f>IF(C149&lt;&gt;"OK","",EDATE(M149,Assumptions!$B$16))</f>
        <v/>
      </c>
    </row>
    <row r="150" spans="1:24" ht="22" customHeight="1">
      <c r="A150" s="11" t="str">
        <f>IF('Case inputs'!A150="","",'Case inputs'!A150)</f>
        <v/>
      </c>
      <c r="B150" s="11" t="str">
        <f>IF(A150="","",'Case inputs'!C150)</f>
        <v/>
      </c>
      <c r="C150" s="11" t="str">
        <f>IF('Case inputs'!I150="","",IF(Assumptions!$B$38&lt;&gt;"OK","ASSUMPTIONS INVALID",'Case inputs'!I150))</f>
        <v/>
      </c>
      <c r="D150" s="11" t="str">
        <f>IF(C150&lt;&gt;"OK","",VLOOKUP('Case inputs'!E150,Benchmarks!$A$6:$C$164,3,FALSE))</f>
        <v/>
      </c>
      <c r="E150" s="11" t="str">
        <f>IF(C150&lt;&gt;"OK","",Assumptions!$B$5-'Case inputs'!D150)</f>
        <v/>
      </c>
      <c r="F150" s="15" t="str">
        <f>IF(C150&lt;&gt;"OK","",IF(B150="INITIAL",'Case inputs'!D150+Assumptions!$B$10,IF(B150="RECON",'Case inputs'!D150+Assumptions!$B$11,EDATE('Case inputs'!D150,INT(D150))+ROUND(MOD(D150,1)*30.44,0))))</f>
        <v/>
      </c>
      <c r="G150" s="11" t="str">
        <f>IF(C150&lt;&gt;"OK","",IF(AND(B150="HEARING",'Case inputs'!F150&lt;&gt;"",'Case inputs'!F150&gt;=Assumptions!$B$5),"SCHEDULED",IF('Case inputs'!G150&lt;&gt;"","REVIEWED OVERRIDE",IF(F150&lt;Assumptions!$B$5,"OVERDUE: FUTURE WINDOW","BENCHMARK SCENARIO"))))</f>
        <v/>
      </c>
      <c r="H150" s="15" t="str">
        <f>IF(C150&lt;&gt;"OK","",IF(G150="SCHEDULED",'Case inputs'!F150,IF('Case inputs'!G150&lt;&gt;"",'Case inputs'!G150,IF(F150&lt;Assumptions!$B$5,EDATE(Assumptions!$B$5,Assumptions!$B$17),F150))))</f>
        <v/>
      </c>
      <c r="I150" s="16" t="str">
        <f t="shared" si="8"/>
        <v/>
      </c>
      <c r="J150" s="15" t="str">
        <f>IF(C150&lt;&gt;"OK","",IF(B150="INITIAL",EDATE(I150,Assumptions!$B$12)+Assumptions!$B$11,IF(B150="RECON",H150,"")))</f>
        <v/>
      </c>
      <c r="K150" s="15" t="str">
        <f>IF(C150&lt;&gt;"OK","",IF(B150="HEARING",'Case inputs'!D150,EDATE(J150,Assumptions!$B$13)))</f>
        <v/>
      </c>
      <c r="L150" s="15" t="str">
        <f>IF(C150&lt;&gt;"OK","",IF(G150="SCHEDULED",H150,EDATE(IF(B150="HEARING",H150,EDATE(K150,INT(D150))+ROUND(MOD(D150,1)*30.44,0)),Assumptions!$B$18)))</f>
        <v/>
      </c>
      <c r="M150" s="15" t="str">
        <f>IF(C150&lt;&gt;"OK","",EDATE(L150,Assumptions!$B$15))</f>
        <v/>
      </c>
      <c r="N150" s="17" t="str">
        <f>IF(C150&lt;&gt;"OK","",IF(B150="INITIAL",Assumptions!$B$21,0))</f>
        <v/>
      </c>
      <c r="O150" s="17" t="str">
        <f>IF(C150&lt;&gt;"OK","",IF(B150="INITIAL",(1-Assumptions!$B$21)*Assumptions!$B$24*Assumptions!$B$22,IF(B150="RECON",Assumptions!$B$22,0)))</f>
        <v/>
      </c>
      <c r="P150" s="17" t="str">
        <f>IF(C150&lt;&gt;"OK","",IF(B150="INITIAL",(1-Assumptions!$B$21)*Assumptions!$B$24*(1-Assumptions!$B$22)*Assumptions!$B$25,IF(B150="RECON",(1-Assumptions!$B$22)*Assumptions!$B$25,1)))</f>
        <v/>
      </c>
      <c r="Q150" s="17" t="str">
        <f>IF(C150&lt;&gt;"OK","",IF(B150="INITIAL",(1-Assumptions!$B$21)*(1-Assumptions!$B$24),0))</f>
        <v/>
      </c>
      <c r="R150" s="17" t="str">
        <f>IF(C150&lt;&gt;"OK","",IF(B150="INITIAL",(1-Assumptions!$B$21)*Assumptions!$B$24*(1-Assumptions!$B$22)*(1-Assumptions!$B$25),IF(B150="RECON",(1-Assumptions!$B$22)*(1-Assumptions!$B$25),0)))</f>
        <v/>
      </c>
      <c r="S150" s="17" t="str">
        <f>IF(C150&lt;&gt;"OK","",P150*Assumptions!$B$23)</f>
        <v/>
      </c>
      <c r="T150" s="17" t="str">
        <f>IF(C150&lt;&gt;"OK","",P150*(1-Assumptions!$B$23))</f>
        <v/>
      </c>
      <c r="U150" s="18" t="str">
        <f t="shared" si="9"/>
        <v/>
      </c>
      <c r="V150" s="15" t="str">
        <f>IF(C150&lt;&gt;"OK","",IF(B150="INITIAL",EDATE(I150,Assumptions!$B$14),""))</f>
        <v/>
      </c>
      <c r="W150" s="15" t="str">
        <f>IF(C150&lt;&gt;"OK","",IF(B150="HEARING","",EDATE(J150,Assumptions!$B$14)))</f>
        <v/>
      </c>
      <c r="X150" s="15" t="str">
        <f>IF(C150&lt;&gt;"OK","",EDATE(M150,Assumptions!$B$16))</f>
        <v/>
      </c>
    </row>
    <row r="151" spans="1:24" ht="22" customHeight="1">
      <c r="A151" s="11" t="str">
        <f>IF('Case inputs'!A151="","",'Case inputs'!A151)</f>
        <v/>
      </c>
      <c r="B151" s="11" t="str">
        <f>IF(A151="","",'Case inputs'!C151)</f>
        <v/>
      </c>
      <c r="C151" s="11" t="str">
        <f>IF('Case inputs'!I151="","",IF(Assumptions!$B$38&lt;&gt;"OK","ASSUMPTIONS INVALID",'Case inputs'!I151))</f>
        <v/>
      </c>
      <c r="D151" s="11" t="str">
        <f>IF(C151&lt;&gt;"OK","",VLOOKUP('Case inputs'!E151,Benchmarks!$A$6:$C$164,3,FALSE))</f>
        <v/>
      </c>
      <c r="E151" s="11" t="str">
        <f>IF(C151&lt;&gt;"OK","",Assumptions!$B$5-'Case inputs'!D151)</f>
        <v/>
      </c>
      <c r="F151" s="15" t="str">
        <f>IF(C151&lt;&gt;"OK","",IF(B151="INITIAL",'Case inputs'!D151+Assumptions!$B$10,IF(B151="RECON",'Case inputs'!D151+Assumptions!$B$11,EDATE('Case inputs'!D151,INT(D151))+ROUND(MOD(D151,1)*30.44,0))))</f>
        <v/>
      </c>
      <c r="G151" s="11" t="str">
        <f>IF(C151&lt;&gt;"OK","",IF(AND(B151="HEARING",'Case inputs'!F151&lt;&gt;"",'Case inputs'!F151&gt;=Assumptions!$B$5),"SCHEDULED",IF('Case inputs'!G151&lt;&gt;"","REVIEWED OVERRIDE",IF(F151&lt;Assumptions!$B$5,"OVERDUE: FUTURE WINDOW","BENCHMARK SCENARIO"))))</f>
        <v/>
      </c>
      <c r="H151" s="15" t="str">
        <f>IF(C151&lt;&gt;"OK","",IF(G151="SCHEDULED",'Case inputs'!F151,IF('Case inputs'!G151&lt;&gt;"",'Case inputs'!G151,IF(F151&lt;Assumptions!$B$5,EDATE(Assumptions!$B$5,Assumptions!$B$17),F151))))</f>
        <v/>
      </c>
      <c r="I151" s="16" t="str">
        <f t="shared" si="8"/>
        <v/>
      </c>
      <c r="J151" s="15" t="str">
        <f>IF(C151&lt;&gt;"OK","",IF(B151="INITIAL",EDATE(I151,Assumptions!$B$12)+Assumptions!$B$11,IF(B151="RECON",H151,"")))</f>
        <v/>
      </c>
      <c r="K151" s="15" t="str">
        <f>IF(C151&lt;&gt;"OK","",IF(B151="HEARING",'Case inputs'!D151,EDATE(J151,Assumptions!$B$13)))</f>
        <v/>
      </c>
      <c r="L151" s="15" t="str">
        <f>IF(C151&lt;&gt;"OK","",IF(G151="SCHEDULED",H151,EDATE(IF(B151="HEARING",H151,EDATE(K151,INT(D151))+ROUND(MOD(D151,1)*30.44,0)),Assumptions!$B$18)))</f>
        <v/>
      </c>
      <c r="M151" s="15" t="str">
        <f>IF(C151&lt;&gt;"OK","",EDATE(L151,Assumptions!$B$15))</f>
        <v/>
      </c>
      <c r="N151" s="17" t="str">
        <f>IF(C151&lt;&gt;"OK","",IF(B151="INITIAL",Assumptions!$B$21,0))</f>
        <v/>
      </c>
      <c r="O151" s="17" t="str">
        <f>IF(C151&lt;&gt;"OK","",IF(B151="INITIAL",(1-Assumptions!$B$21)*Assumptions!$B$24*Assumptions!$B$22,IF(B151="RECON",Assumptions!$B$22,0)))</f>
        <v/>
      </c>
      <c r="P151" s="17" t="str">
        <f>IF(C151&lt;&gt;"OK","",IF(B151="INITIAL",(1-Assumptions!$B$21)*Assumptions!$B$24*(1-Assumptions!$B$22)*Assumptions!$B$25,IF(B151="RECON",(1-Assumptions!$B$22)*Assumptions!$B$25,1)))</f>
        <v/>
      </c>
      <c r="Q151" s="17" t="str">
        <f>IF(C151&lt;&gt;"OK","",IF(B151="INITIAL",(1-Assumptions!$B$21)*(1-Assumptions!$B$24),0))</f>
        <v/>
      </c>
      <c r="R151" s="17" t="str">
        <f>IF(C151&lt;&gt;"OK","",IF(B151="INITIAL",(1-Assumptions!$B$21)*Assumptions!$B$24*(1-Assumptions!$B$22)*(1-Assumptions!$B$25),IF(B151="RECON",(1-Assumptions!$B$22)*(1-Assumptions!$B$25),0)))</f>
        <v/>
      </c>
      <c r="S151" s="17" t="str">
        <f>IF(C151&lt;&gt;"OK","",P151*Assumptions!$B$23)</f>
        <v/>
      </c>
      <c r="T151" s="17" t="str">
        <f>IF(C151&lt;&gt;"OK","",P151*(1-Assumptions!$B$23))</f>
        <v/>
      </c>
      <c r="U151" s="18" t="str">
        <f t="shared" si="9"/>
        <v/>
      </c>
      <c r="V151" s="15" t="str">
        <f>IF(C151&lt;&gt;"OK","",IF(B151="INITIAL",EDATE(I151,Assumptions!$B$14),""))</f>
        <v/>
      </c>
      <c r="W151" s="15" t="str">
        <f>IF(C151&lt;&gt;"OK","",IF(B151="HEARING","",EDATE(J151,Assumptions!$B$14)))</f>
        <v/>
      </c>
      <c r="X151" s="15" t="str">
        <f>IF(C151&lt;&gt;"OK","",EDATE(M151,Assumptions!$B$16))</f>
        <v/>
      </c>
    </row>
    <row r="152" spans="1:24" ht="22" customHeight="1">
      <c r="A152" s="11" t="str">
        <f>IF('Case inputs'!A152="","",'Case inputs'!A152)</f>
        <v/>
      </c>
      <c r="B152" s="11" t="str">
        <f>IF(A152="","",'Case inputs'!C152)</f>
        <v/>
      </c>
      <c r="C152" s="11" t="str">
        <f>IF('Case inputs'!I152="","",IF(Assumptions!$B$38&lt;&gt;"OK","ASSUMPTIONS INVALID",'Case inputs'!I152))</f>
        <v/>
      </c>
      <c r="D152" s="11" t="str">
        <f>IF(C152&lt;&gt;"OK","",VLOOKUP('Case inputs'!E152,Benchmarks!$A$6:$C$164,3,FALSE))</f>
        <v/>
      </c>
      <c r="E152" s="11" t="str">
        <f>IF(C152&lt;&gt;"OK","",Assumptions!$B$5-'Case inputs'!D152)</f>
        <v/>
      </c>
      <c r="F152" s="15" t="str">
        <f>IF(C152&lt;&gt;"OK","",IF(B152="INITIAL",'Case inputs'!D152+Assumptions!$B$10,IF(B152="RECON",'Case inputs'!D152+Assumptions!$B$11,EDATE('Case inputs'!D152,INT(D152))+ROUND(MOD(D152,1)*30.44,0))))</f>
        <v/>
      </c>
      <c r="G152" s="11" t="str">
        <f>IF(C152&lt;&gt;"OK","",IF(AND(B152="HEARING",'Case inputs'!F152&lt;&gt;"",'Case inputs'!F152&gt;=Assumptions!$B$5),"SCHEDULED",IF('Case inputs'!G152&lt;&gt;"","REVIEWED OVERRIDE",IF(F152&lt;Assumptions!$B$5,"OVERDUE: FUTURE WINDOW","BENCHMARK SCENARIO"))))</f>
        <v/>
      </c>
      <c r="H152" s="15" t="str">
        <f>IF(C152&lt;&gt;"OK","",IF(G152="SCHEDULED",'Case inputs'!F152,IF('Case inputs'!G152&lt;&gt;"",'Case inputs'!G152,IF(F152&lt;Assumptions!$B$5,EDATE(Assumptions!$B$5,Assumptions!$B$17),F152))))</f>
        <v/>
      </c>
      <c r="I152" s="16" t="str">
        <f t="shared" si="8"/>
        <v/>
      </c>
      <c r="J152" s="15" t="str">
        <f>IF(C152&lt;&gt;"OK","",IF(B152="INITIAL",EDATE(I152,Assumptions!$B$12)+Assumptions!$B$11,IF(B152="RECON",H152,"")))</f>
        <v/>
      </c>
      <c r="K152" s="15" t="str">
        <f>IF(C152&lt;&gt;"OK","",IF(B152="HEARING",'Case inputs'!D152,EDATE(J152,Assumptions!$B$13)))</f>
        <v/>
      </c>
      <c r="L152" s="15" t="str">
        <f>IF(C152&lt;&gt;"OK","",IF(G152="SCHEDULED",H152,EDATE(IF(B152="HEARING",H152,EDATE(K152,INT(D152))+ROUND(MOD(D152,1)*30.44,0)),Assumptions!$B$18)))</f>
        <v/>
      </c>
      <c r="M152" s="15" t="str">
        <f>IF(C152&lt;&gt;"OK","",EDATE(L152,Assumptions!$B$15))</f>
        <v/>
      </c>
      <c r="N152" s="17" t="str">
        <f>IF(C152&lt;&gt;"OK","",IF(B152="INITIAL",Assumptions!$B$21,0))</f>
        <v/>
      </c>
      <c r="O152" s="17" t="str">
        <f>IF(C152&lt;&gt;"OK","",IF(B152="INITIAL",(1-Assumptions!$B$21)*Assumptions!$B$24*Assumptions!$B$22,IF(B152="RECON",Assumptions!$B$22,0)))</f>
        <v/>
      </c>
      <c r="P152" s="17" t="str">
        <f>IF(C152&lt;&gt;"OK","",IF(B152="INITIAL",(1-Assumptions!$B$21)*Assumptions!$B$24*(1-Assumptions!$B$22)*Assumptions!$B$25,IF(B152="RECON",(1-Assumptions!$B$22)*Assumptions!$B$25,1)))</f>
        <v/>
      </c>
      <c r="Q152" s="17" t="str">
        <f>IF(C152&lt;&gt;"OK","",IF(B152="INITIAL",(1-Assumptions!$B$21)*(1-Assumptions!$B$24),0))</f>
        <v/>
      </c>
      <c r="R152" s="17" t="str">
        <f>IF(C152&lt;&gt;"OK","",IF(B152="INITIAL",(1-Assumptions!$B$21)*Assumptions!$B$24*(1-Assumptions!$B$22)*(1-Assumptions!$B$25),IF(B152="RECON",(1-Assumptions!$B$22)*(1-Assumptions!$B$25),0)))</f>
        <v/>
      </c>
      <c r="S152" s="17" t="str">
        <f>IF(C152&lt;&gt;"OK","",P152*Assumptions!$B$23)</f>
        <v/>
      </c>
      <c r="T152" s="17" t="str">
        <f>IF(C152&lt;&gt;"OK","",P152*(1-Assumptions!$B$23))</f>
        <v/>
      </c>
      <c r="U152" s="18" t="str">
        <f t="shared" si="9"/>
        <v/>
      </c>
      <c r="V152" s="15" t="str">
        <f>IF(C152&lt;&gt;"OK","",IF(B152="INITIAL",EDATE(I152,Assumptions!$B$14),""))</f>
        <v/>
      </c>
      <c r="W152" s="15" t="str">
        <f>IF(C152&lt;&gt;"OK","",IF(B152="HEARING","",EDATE(J152,Assumptions!$B$14)))</f>
        <v/>
      </c>
      <c r="X152" s="15" t="str">
        <f>IF(C152&lt;&gt;"OK","",EDATE(M152,Assumptions!$B$16))</f>
        <v/>
      </c>
    </row>
    <row r="153" spans="1:24" ht="22" customHeight="1">
      <c r="A153" s="11" t="str">
        <f>IF('Case inputs'!A153="","",'Case inputs'!A153)</f>
        <v/>
      </c>
      <c r="B153" s="11" t="str">
        <f>IF(A153="","",'Case inputs'!C153)</f>
        <v/>
      </c>
      <c r="C153" s="11" t="str">
        <f>IF('Case inputs'!I153="","",IF(Assumptions!$B$38&lt;&gt;"OK","ASSUMPTIONS INVALID",'Case inputs'!I153))</f>
        <v/>
      </c>
      <c r="D153" s="11" t="str">
        <f>IF(C153&lt;&gt;"OK","",VLOOKUP('Case inputs'!E153,Benchmarks!$A$6:$C$164,3,FALSE))</f>
        <v/>
      </c>
      <c r="E153" s="11" t="str">
        <f>IF(C153&lt;&gt;"OK","",Assumptions!$B$5-'Case inputs'!D153)</f>
        <v/>
      </c>
      <c r="F153" s="15" t="str">
        <f>IF(C153&lt;&gt;"OK","",IF(B153="INITIAL",'Case inputs'!D153+Assumptions!$B$10,IF(B153="RECON",'Case inputs'!D153+Assumptions!$B$11,EDATE('Case inputs'!D153,INT(D153))+ROUND(MOD(D153,1)*30.44,0))))</f>
        <v/>
      </c>
      <c r="G153" s="11" t="str">
        <f>IF(C153&lt;&gt;"OK","",IF(AND(B153="HEARING",'Case inputs'!F153&lt;&gt;"",'Case inputs'!F153&gt;=Assumptions!$B$5),"SCHEDULED",IF('Case inputs'!G153&lt;&gt;"","REVIEWED OVERRIDE",IF(F153&lt;Assumptions!$B$5,"OVERDUE: FUTURE WINDOW","BENCHMARK SCENARIO"))))</f>
        <v/>
      </c>
      <c r="H153" s="15" t="str">
        <f>IF(C153&lt;&gt;"OK","",IF(G153="SCHEDULED",'Case inputs'!F153,IF('Case inputs'!G153&lt;&gt;"",'Case inputs'!G153,IF(F153&lt;Assumptions!$B$5,EDATE(Assumptions!$B$5,Assumptions!$B$17),F153))))</f>
        <v/>
      </c>
      <c r="I153" s="16" t="str">
        <f t="shared" si="8"/>
        <v/>
      </c>
      <c r="J153" s="15" t="str">
        <f>IF(C153&lt;&gt;"OK","",IF(B153="INITIAL",EDATE(I153,Assumptions!$B$12)+Assumptions!$B$11,IF(B153="RECON",H153,"")))</f>
        <v/>
      </c>
      <c r="K153" s="15" t="str">
        <f>IF(C153&lt;&gt;"OK","",IF(B153="HEARING",'Case inputs'!D153,EDATE(J153,Assumptions!$B$13)))</f>
        <v/>
      </c>
      <c r="L153" s="15" t="str">
        <f>IF(C153&lt;&gt;"OK","",IF(G153="SCHEDULED",H153,EDATE(IF(B153="HEARING",H153,EDATE(K153,INT(D153))+ROUND(MOD(D153,1)*30.44,0)),Assumptions!$B$18)))</f>
        <v/>
      </c>
      <c r="M153" s="15" t="str">
        <f>IF(C153&lt;&gt;"OK","",EDATE(L153,Assumptions!$B$15))</f>
        <v/>
      </c>
      <c r="N153" s="17" t="str">
        <f>IF(C153&lt;&gt;"OK","",IF(B153="INITIAL",Assumptions!$B$21,0))</f>
        <v/>
      </c>
      <c r="O153" s="17" t="str">
        <f>IF(C153&lt;&gt;"OK","",IF(B153="INITIAL",(1-Assumptions!$B$21)*Assumptions!$B$24*Assumptions!$B$22,IF(B153="RECON",Assumptions!$B$22,0)))</f>
        <v/>
      </c>
      <c r="P153" s="17" t="str">
        <f>IF(C153&lt;&gt;"OK","",IF(B153="INITIAL",(1-Assumptions!$B$21)*Assumptions!$B$24*(1-Assumptions!$B$22)*Assumptions!$B$25,IF(B153="RECON",(1-Assumptions!$B$22)*Assumptions!$B$25,1)))</f>
        <v/>
      </c>
      <c r="Q153" s="17" t="str">
        <f>IF(C153&lt;&gt;"OK","",IF(B153="INITIAL",(1-Assumptions!$B$21)*(1-Assumptions!$B$24),0))</f>
        <v/>
      </c>
      <c r="R153" s="17" t="str">
        <f>IF(C153&lt;&gt;"OK","",IF(B153="INITIAL",(1-Assumptions!$B$21)*Assumptions!$B$24*(1-Assumptions!$B$22)*(1-Assumptions!$B$25),IF(B153="RECON",(1-Assumptions!$B$22)*(1-Assumptions!$B$25),0)))</f>
        <v/>
      </c>
      <c r="S153" s="17" t="str">
        <f>IF(C153&lt;&gt;"OK","",P153*Assumptions!$B$23)</f>
        <v/>
      </c>
      <c r="T153" s="17" t="str">
        <f>IF(C153&lt;&gt;"OK","",P153*(1-Assumptions!$B$23))</f>
        <v/>
      </c>
      <c r="U153" s="18" t="str">
        <f t="shared" si="9"/>
        <v/>
      </c>
      <c r="V153" s="15" t="str">
        <f>IF(C153&lt;&gt;"OK","",IF(B153="INITIAL",EDATE(I153,Assumptions!$B$14),""))</f>
        <v/>
      </c>
      <c r="W153" s="15" t="str">
        <f>IF(C153&lt;&gt;"OK","",IF(B153="HEARING","",EDATE(J153,Assumptions!$B$14)))</f>
        <v/>
      </c>
      <c r="X153" s="15" t="str">
        <f>IF(C153&lt;&gt;"OK","",EDATE(M153,Assumptions!$B$16))</f>
        <v/>
      </c>
    </row>
    <row r="154" spans="1:24" ht="22" customHeight="1">
      <c r="A154" s="11" t="str">
        <f>IF('Case inputs'!A154="","",'Case inputs'!A154)</f>
        <v/>
      </c>
      <c r="B154" s="11" t="str">
        <f>IF(A154="","",'Case inputs'!C154)</f>
        <v/>
      </c>
      <c r="C154" s="11" t="str">
        <f>IF('Case inputs'!I154="","",IF(Assumptions!$B$38&lt;&gt;"OK","ASSUMPTIONS INVALID",'Case inputs'!I154))</f>
        <v/>
      </c>
      <c r="D154" s="11" t="str">
        <f>IF(C154&lt;&gt;"OK","",VLOOKUP('Case inputs'!E154,Benchmarks!$A$6:$C$164,3,FALSE))</f>
        <v/>
      </c>
      <c r="E154" s="11" t="str">
        <f>IF(C154&lt;&gt;"OK","",Assumptions!$B$5-'Case inputs'!D154)</f>
        <v/>
      </c>
      <c r="F154" s="15" t="str">
        <f>IF(C154&lt;&gt;"OK","",IF(B154="INITIAL",'Case inputs'!D154+Assumptions!$B$10,IF(B154="RECON",'Case inputs'!D154+Assumptions!$B$11,EDATE('Case inputs'!D154,INT(D154))+ROUND(MOD(D154,1)*30.44,0))))</f>
        <v/>
      </c>
      <c r="G154" s="11" t="str">
        <f>IF(C154&lt;&gt;"OK","",IF(AND(B154="HEARING",'Case inputs'!F154&lt;&gt;"",'Case inputs'!F154&gt;=Assumptions!$B$5),"SCHEDULED",IF('Case inputs'!G154&lt;&gt;"","REVIEWED OVERRIDE",IF(F154&lt;Assumptions!$B$5,"OVERDUE: FUTURE WINDOW","BENCHMARK SCENARIO"))))</f>
        <v/>
      </c>
      <c r="H154" s="15" t="str">
        <f>IF(C154&lt;&gt;"OK","",IF(G154="SCHEDULED",'Case inputs'!F154,IF('Case inputs'!G154&lt;&gt;"",'Case inputs'!G154,IF(F154&lt;Assumptions!$B$5,EDATE(Assumptions!$B$5,Assumptions!$B$17),F154))))</f>
        <v/>
      </c>
      <c r="I154" s="16" t="str">
        <f t="shared" si="8"/>
        <v/>
      </c>
      <c r="J154" s="15" t="str">
        <f>IF(C154&lt;&gt;"OK","",IF(B154="INITIAL",EDATE(I154,Assumptions!$B$12)+Assumptions!$B$11,IF(B154="RECON",H154,"")))</f>
        <v/>
      </c>
      <c r="K154" s="15" t="str">
        <f>IF(C154&lt;&gt;"OK","",IF(B154="HEARING",'Case inputs'!D154,EDATE(J154,Assumptions!$B$13)))</f>
        <v/>
      </c>
      <c r="L154" s="15" t="str">
        <f>IF(C154&lt;&gt;"OK","",IF(G154="SCHEDULED",H154,EDATE(IF(B154="HEARING",H154,EDATE(K154,INT(D154))+ROUND(MOD(D154,1)*30.44,0)),Assumptions!$B$18)))</f>
        <v/>
      </c>
      <c r="M154" s="15" t="str">
        <f>IF(C154&lt;&gt;"OK","",EDATE(L154,Assumptions!$B$15))</f>
        <v/>
      </c>
      <c r="N154" s="17" t="str">
        <f>IF(C154&lt;&gt;"OK","",IF(B154="INITIAL",Assumptions!$B$21,0))</f>
        <v/>
      </c>
      <c r="O154" s="17" t="str">
        <f>IF(C154&lt;&gt;"OK","",IF(B154="INITIAL",(1-Assumptions!$B$21)*Assumptions!$B$24*Assumptions!$B$22,IF(B154="RECON",Assumptions!$B$22,0)))</f>
        <v/>
      </c>
      <c r="P154" s="17" t="str">
        <f>IF(C154&lt;&gt;"OK","",IF(B154="INITIAL",(1-Assumptions!$B$21)*Assumptions!$B$24*(1-Assumptions!$B$22)*Assumptions!$B$25,IF(B154="RECON",(1-Assumptions!$B$22)*Assumptions!$B$25,1)))</f>
        <v/>
      </c>
      <c r="Q154" s="17" t="str">
        <f>IF(C154&lt;&gt;"OK","",IF(B154="INITIAL",(1-Assumptions!$B$21)*(1-Assumptions!$B$24),0))</f>
        <v/>
      </c>
      <c r="R154" s="17" t="str">
        <f>IF(C154&lt;&gt;"OK","",IF(B154="INITIAL",(1-Assumptions!$B$21)*Assumptions!$B$24*(1-Assumptions!$B$22)*(1-Assumptions!$B$25),IF(B154="RECON",(1-Assumptions!$B$22)*(1-Assumptions!$B$25),0)))</f>
        <v/>
      </c>
      <c r="S154" s="17" t="str">
        <f>IF(C154&lt;&gt;"OK","",P154*Assumptions!$B$23)</f>
        <v/>
      </c>
      <c r="T154" s="17" t="str">
        <f>IF(C154&lt;&gt;"OK","",P154*(1-Assumptions!$B$23))</f>
        <v/>
      </c>
      <c r="U154" s="18" t="str">
        <f t="shared" si="9"/>
        <v/>
      </c>
      <c r="V154" s="15" t="str">
        <f>IF(C154&lt;&gt;"OK","",IF(B154="INITIAL",EDATE(I154,Assumptions!$B$14),""))</f>
        <v/>
      </c>
      <c r="W154" s="15" t="str">
        <f>IF(C154&lt;&gt;"OK","",IF(B154="HEARING","",EDATE(J154,Assumptions!$B$14)))</f>
        <v/>
      </c>
      <c r="X154" s="15" t="str">
        <f>IF(C154&lt;&gt;"OK","",EDATE(M154,Assumptions!$B$16))</f>
        <v/>
      </c>
    </row>
    <row r="155" spans="1:24" ht="22" customHeight="1">
      <c r="A155" s="11" t="str">
        <f>IF('Case inputs'!A155="","",'Case inputs'!A155)</f>
        <v/>
      </c>
      <c r="B155" s="11" t="str">
        <f>IF(A155="","",'Case inputs'!C155)</f>
        <v/>
      </c>
      <c r="C155" s="11" t="str">
        <f>IF('Case inputs'!I155="","",IF(Assumptions!$B$38&lt;&gt;"OK","ASSUMPTIONS INVALID",'Case inputs'!I155))</f>
        <v/>
      </c>
      <c r="D155" s="11" t="str">
        <f>IF(C155&lt;&gt;"OK","",VLOOKUP('Case inputs'!E155,Benchmarks!$A$6:$C$164,3,FALSE))</f>
        <v/>
      </c>
      <c r="E155" s="11" t="str">
        <f>IF(C155&lt;&gt;"OK","",Assumptions!$B$5-'Case inputs'!D155)</f>
        <v/>
      </c>
      <c r="F155" s="15" t="str">
        <f>IF(C155&lt;&gt;"OK","",IF(B155="INITIAL",'Case inputs'!D155+Assumptions!$B$10,IF(B155="RECON",'Case inputs'!D155+Assumptions!$B$11,EDATE('Case inputs'!D155,INT(D155))+ROUND(MOD(D155,1)*30.44,0))))</f>
        <v/>
      </c>
      <c r="G155" s="11" t="str">
        <f>IF(C155&lt;&gt;"OK","",IF(AND(B155="HEARING",'Case inputs'!F155&lt;&gt;"",'Case inputs'!F155&gt;=Assumptions!$B$5),"SCHEDULED",IF('Case inputs'!G155&lt;&gt;"","REVIEWED OVERRIDE",IF(F155&lt;Assumptions!$B$5,"OVERDUE: FUTURE WINDOW","BENCHMARK SCENARIO"))))</f>
        <v/>
      </c>
      <c r="H155" s="15" t="str">
        <f>IF(C155&lt;&gt;"OK","",IF(G155="SCHEDULED",'Case inputs'!F155,IF('Case inputs'!G155&lt;&gt;"",'Case inputs'!G155,IF(F155&lt;Assumptions!$B$5,EDATE(Assumptions!$B$5,Assumptions!$B$17),F155))))</f>
        <v/>
      </c>
      <c r="I155" s="16" t="str">
        <f t="shared" si="8"/>
        <v/>
      </c>
      <c r="J155" s="15" t="str">
        <f>IF(C155&lt;&gt;"OK","",IF(B155="INITIAL",EDATE(I155,Assumptions!$B$12)+Assumptions!$B$11,IF(B155="RECON",H155,"")))</f>
        <v/>
      </c>
      <c r="K155" s="15" t="str">
        <f>IF(C155&lt;&gt;"OK","",IF(B155="HEARING",'Case inputs'!D155,EDATE(J155,Assumptions!$B$13)))</f>
        <v/>
      </c>
      <c r="L155" s="15" t="str">
        <f>IF(C155&lt;&gt;"OK","",IF(G155="SCHEDULED",H155,EDATE(IF(B155="HEARING",H155,EDATE(K155,INT(D155))+ROUND(MOD(D155,1)*30.44,0)),Assumptions!$B$18)))</f>
        <v/>
      </c>
      <c r="M155" s="15" t="str">
        <f>IF(C155&lt;&gt;"OK","",EDATE(L155,Assumptions!$B$15))</f>
        <v/>
      </c>
      <c r="N155" s="17" t="str">
        <f>IF(C155&lt;&gt;"OK","",IF(B155="INITIAL",Assumptions!$B$21,0))</f>
        <v/>
      </c>
      <c r="O155" s="17" t="str">
        <f>IF(C155&lt;&gt;"OK","",IF(B155="INITIAL",(1-Assumptions!$B$21)*Assumptions!$B$24*Assumptions!$B$22,IF(B155="RECON",Assumptions!$B$22,0)))</f>
        <v/>
      </c>
      <c r="P155" s="17" t="str">
        <f>IF(C155&lt;&gt;"OK","",IF(B155="INITIAL",(1-Assumptions!$B$21)*Assumptions!$B$24*(1-Assumptions!$B$22)*Assumptions!$B$25,IF(B155="RECON",(1-Assumptions!$B$22)*Assumptions!$B$25,1)))</f>
        <v/>
      </c>
      <c r="Q155" s="17" t="str">
        <f>IF(C155&lt;&gt;"OK","",IF(B155="INITIAL",(1-Assumptions!$B$21)*(1-Assumptions!$B$24),0))</f>
        <v/>
      </c>
      <c r="R155" s="17" t="str">
        <f>IF(C155&lt;&gt;"OK","",IF(B155="INITIAL",(1-Assumptions!$B$21)*Assumptions!$B$24*(1-Assumptions!$B$22)*(1-Assumptions!$B$25),IF(B155="RECON",(1-Assumptions!$B$22)*(1-Assumptions!$B$25),0)))</f>
        <v/>
      </c>
      <c r="S155" s="17" t="str">
        <f>IF(C155&lt;&gt;"OK","",P155*Assumptions!$B$23)</f>
        <v/>
      </c>
      <c r="T155" s="17" t="str">
        <f>IF(C155&lt;&gt;"OK","",P155*(1-Assumptions!$B$23))</f>
        <v/>
      </c>
      <c r="U155" s="18" t="str">
        <f t="shared" si="9"/>
        <v/>
      </c>
      <c r="V155" s="15" t="str">
        <f>IF(C155&lt;&gt;"OK","",IF(B155="INITIAL",EDATE(I155,Assumptions!$B$14),""))</f>
        <v/>
      </c>
      <c r="W155" s="15" t="str">
        <f>IF(C155&lt;&gt;"OK","",IF(B155="HEARING","",EDATE(J155,Assumptions!$B$14)))</f>
        <v/>
      </c>
      <c r="X155" s="15" t="str">
        <f>IF(C155&lt;&gt;"OK","",EDATE(M155,Assumptions!$B$16))</f>
        <v/>
      </c>
    </row>
    <row r="156" spans="1:24" ht="22" customHeight="1">
      <c r="A156" s="11" t="str">
        <f>IF('Case inputs'!A156="","",'Case inputs'!A156)</f>
        <v/>
      </c>
      <c r="B156" s="11" t="str">
        <f>IF(A156="","",'Case inputs'!C156)</f>
        <v/>
      </c>
      <c r="C156" s="11" t="str">
        <f>IF('Case inputs'!I156="","",IF(Assumptions!$B$38&lt;&gt;"OK","ASSUMPTIONS INVALID",'Case inputs'!I156))</f>
        <v/>
      </c>
      <c r="D156" s="11" t="str">
        <f>IF(C156&lt;&gt;"OK","",VLOOKUP('Case inputs'!E156,Benchmarks!$A$6:$C$164,3,FALSE))</f>
        <v/>
      </c>
      <c r="E156" s="11" t="str">
        <f>IF(C156&lt;&gt;"OK","",Assumptions!$B$5-'Case inputs'!D156)</f>
        <v/>
      </c>
      <c r="F156" s="15" t="str">
        <f>IF(C156&lt;&gt;"OK","",IF(B156="INITIAL",'Case inputs'!D156+Assumptions!$B$10,IF(B156="RECON",'Case inputs'!D156+Assumptions!$B$11,EDATE('Case inputs'!D156,INT(D156))+ROUND(MOD(D156,1)*30.44,0))))</f>
        <v/>
      </c>
      <c r="G156" s="11" t="str">
        <f>IF(C156&lt;&gt;"OK","",IF(AND(B156="HEARING",'Case inputs'!F156&lt;&gt;"",'Case inputs'!F156&gt;=Assumptions!$B$5),"SCHEDULED",IF('Case inputs'!G156&lt;&gt;"","REVIEWED OVERRIDE",IF(F156&lt;Assumptions!$B$5,"OVERDUE: FUTURE WINDOW","BENCHMARK SCENARIO"))))</f>
        <v/>
      </c>
      <c r="H156" s="15" t="str">
        <f>IF(C156&lt;&gt;"OK","",IF(G156="SCHEDULED",'Case inputs'!F156,IF('Case inputs'!G156&lt;&gt;"",'Case inputs'!G156,IF(F156&lt;Assumptions!$B$5,EDATE(Assumptions!$B$5,Assumptions!$B$17),F156))))</f>
        <v/>
      </c>
      <c r="I156" s="16" t="str">
        <f t="shared" si="8"/>
        <v/>
      </c>
      <c r="J156" s="15" t="str">
        <f>IF(C156&lt;&gt;"OK","",IF(B156="INITIAL",EDATE(I156,Assumptions!$B$12)+Assumptions!$B$11,IF(B156="RECON",H156,"")))</f>
        <v/>
      </c>
      <c r="K156" s="15" t="str">
        <f>IF(C156&lt;&gt;"OK","",IF(B156="HEARING",'Case inputs'!D156,EDATE(J156,Assumptions!$B$13)))</f>
        <v/>
      </c>
      <c r="L156" s="15" t="str">
        <f>IF(C156&lt;&gt;"OK","",IF(G156="SCHEDULED",H156,EDATE(IF(B156="HEARING",H156,EDATE(K156,INT(D156))+ROUND(MOD(D156,1)*30.44,0)),Assumptions!$B$18)))</f>
        <v/>
      </c>
      <c r="M156" s="15" t="str">
        <f>IF(C156&lt;&gt;"OK","",EDATE(L156,Assumptions!$B$15))</f>
        <v/>
      </c>
      <c r="N156" s="17" t="str">
        <f>IF(C156&lt;&gt;"OK","",IF(B156="INITIAL",Assumptions!$B$21,0))</f>
        <v/>
      </c>
      <c r="O156" s="17" t="str">
        <f>IF(C156&lt;&gt;"OK","",IF(B156="INITIAL",(1-Assumptions!$B$21)*Assumptions!$B$24*Assumptions!$B$22,IF(B156="RECON",Assumptions!$B$22,0)))</f>
        <v/>
      </c>
      <c r="P156" s="17" t="str">
        <f>IF(C156&lt;&gt;"OK","",IF(B156="INITIAL",(1-Assumptions!$B$21)*Assumptions!$B$24*(1-Assumptions!$B$22)*Assumptions!$B$25,IF(B156="RECON",(1-Assumptions!$B$22)*Assumptions!$B$25,1)))</f>
        <v/>
      </c>
      <c r="Q156" s="17" t="str">
        <f>IF(C156&lt;&gt;"OK","",IF(B156="INITIAL",(1-Assumptions!$B$21)*(1-Assumptions!$B$24),0))</f>
        <v/>
      </c>
      <c r="R156" s="17" t="str">
        <f>IF(C156&lt;&gt;"OK","",IF(B156="INITIAL",(1-Assumptions!$B$21)*Assumptions!$B$24*(1-Assumptions!$B$22)*(1-Assumptions!$B$25),IF(B156="RECON",(1-Assumptions!$B$22)*(1-Assumptions!$B$25),0)))</f>
        <v/>
      </c>
      <c r="S156" s="17" t="str">
        <f>IF(C156&lt;&gt;"OK","",P156*Assumptions!$B$23)</f>
        <v/>
      </c>
      <c r="T156" s="17" t="str">
        <f>IF(C156&lt;&gt;"OK","",P156*(1-Assumptions!$B$23))</f>
        <v/>
      </c>
      <c r="U156" s="18" t="str">
        <f t="shared" si="9"/>
        <v/>
      </c>
      <c r="V156" s="15" t="str">
        <f>IF(C156&lt;&gt;"OK","",IF(B156="INITIAL",EDATE(I156,Assumptions!$B$14),""))</f>
        <v/>
      </c>
      <c r="W156" s="15" t="str">
        <f>IF(C156&lt;&gt;"OK","",IF(B156="HEARING","",EDATE(J156,Assumptions!$B$14)))</f>
        <v/>
      </c>
      <c r="X156" s="15" t="str">
        <f>IF(C156&lt;&gt;"OK","",EDATE(M156,Assumptions!$B$16))</f>
        <v/>
      </c>
    </row>
    <row r="157" spans="1:24" ht="22" customHeight="1">
      <c r="A157" s="11" t="str">
        <f>IF('Case inputs'!A157="","",'Case inputs'!A157)</f>
        <v/>
      </c>
      <c r="B157" s="11" t="str">
        <f>IF(A157="","",'Case inputs'!C157)</f>
        <v/>
      </c>
      <c r="C157" s="11" t="str">
        <f>IF('Case inputs'!I157="","",IF(Assumptions!$B$38&lt;&gt;"OK","ASSUMPTIONS INVALID",'Case inputs'!I157))</f>
        <v/>
      </c>
      <c r="D157" s="11" t="str">
        <f>IF(C157&lt;&gt;"OK","",VLOOKUP('Case inputs'!E157,Benchmarks!$A$6:$C$164,3,FALSE))</f>
        <v/>
      </c>
      <c r="E157" s="11" t="str">
        <f>IF(C157&lt;&gt;"OK","",Assumptions!$B$5-'Case inputs'!D157)</f>
        <v/>
      </c>
      <c r="F157" s="15" t="str">
        <f>IF(C157&lt;&gt;"OK","",IF(B157="INITIAL",'Case inputs'!D157+Assumptions!$B$10,IF(B157="RECON",'Case inputs'!D157+Assumptions!$B$11,EDATE('Case inputs'!D157,INT(D157))+ROUND(MOD(D157,1)*30.44,0))))</f>
        <v/>
      </c>
      <c r="G157" s="11" t="str">
        <f>IF(C157&lt;&gt;"OK","",IF(AND(B157="HEARING",'Case inputs'!F157&lt;&gt;"",'Case inputs'!F157&gt;=Assumptions!$B$5),"SCHEDULED",IF('Case inputs'!G157&lt;&gt;"","REVIEWED OVERRIDE",IF(F157&lt;Assumptions!$B$5,"OVERDUE: FUTURE WINDOW","BENCHMARK SCENARIO"))))</f>
        <v/>
      </c>
      <c r="H157" s="15" t="str">
        <f>IF(C157&lt;&gt;"OK","",IF(G157="SCHEDULED",'Case inputs'!F157,IF('Case inputs'!G157&lt;&gt;"",'Case inputs'!G157,IF(F157&lt;Assumptions!$B$5,EDATE(Assumptions!$B$5,Assumptions!$B$17),F157))))</f>
        <v/>
      </c>
      <c r="I157" s="16" t="str">
        <f t="shared" si="8"/>
        <v/>
      </c>
      <c r="J157" s="15" t="str">
        <f>IF(C157&lt;&gt;"OK","",IF(B157="INITIAL",EDATE(I157,Assumptions!$B$12)+Assumptions!$B$11,IF(B157="RECON",H157,"")))</f>
        <v/>
      </c>
      <c r="K157" s="15" t="str">
        <f>IF(C157&lt;&gt;"OK","",IF(B157="HEARING",'Case inputs'!D157,EDATE(J157,Assumptions!$B$13)))</f>
        <v/>
      </c>
      <c r="L157" s="15" t="str">
        <f>IF(C157&lt;&gt;"OK","",IF(G157="SCHEDULED",H157,EDATE(IF(B157="HEARING",H157,EDATE(K157,INT(D157))+ROUND(MOD(D157,1)*30.44,0)),Assumptions!$B$18)))</f>
        <v/>
      </c>
      <c r="M157" s="15" t="str">
        <f>IF(C157&lt;&gt;"OK","",EDATE(L157,Assumptions!$B$15))</f>
        <v/>
      </c>
      <c r="N157" s="17" t="str">
        <f>IF(C157&lt;&gt;"OK","",IF(B157="INITIAL",Assumptions!$B$21,0))</f>
        <v/>
      </c>
      <c r="O157" s="17" t="str">
        <f>IF(C157&lt;&gt;"OK","",IF(B157="INITIAL",(1-Assumptions!$B$21)*Assumptions!$B$24*Assumptions!$B$22,IF(B157="RECON",Assumptions!$B$22,0)))</f>
        <v/>
      </c>
      <c r="P157" s="17" t="str">
        <f>IF(C157&lt;&gt;"OK","",IF(B157="INITIAL",(1-Assumptions!$B$21)*Assumptions!$B$24*(1-Assumptions!$B$22)*Assumptions!$B$25,IF(B157="RECON",(1-Assumptions!$B$22)*Assumptions!$B$25,1)))</f>
        <v/>
      </c>
      <c r="Q157" s="17" t="str">
        <f>IF(C157&lt;&gt;"OK","",IF(B157="INITIAL",(1-Assumptions!$B$21)*(1-Assumptions!$B$24),0))</f>
        <v/>
      </c>
      <c r="R157" s="17" t="str">
        <f>IF(C157&lt;&gt;"OK","",IF(B157="INITIAL",(1-Assumptions!$B$21)*Assumptions!$B$24*(1-Assumptions!$B$22)*(1-Assumptions!$B$25),IF(B157="RECON",(1-Assumptions!$B$22)*(1-Assumptions!$B$25),0)))</f>
        <v/>
      </c>
      <c r="S157" s="17" t="str">
        <f>IF(C157&lt;&gt;"OK","",P157*Assumptions!$B$23)</f>
        <v/>
      </c>
      <c r="T157" s="17" t="str">
        <f>IF(C157&lt;&gt;"OK","",P157*(1-Assumptions!$B$23))</f>
        <v/>
      </c>
      <c r="U157" s="18" t="str">
        <f t="shared" si="9"/>
        <v/>
      </c>
      <c r="V157" s="15" t="str">
        <f>IF(C157&lt;&gt;"OK","",IF(B157="INITIAL",EDATE(I157,Assumptions!$B$14),""))</f>
        <v/>
      </c>
      <c r="W157" s="15" t="str">
        <f>IF(C157&lt;&gt;"OK","",IF(B157="HEARING","",EDATE(J157,Assumptions!$B$14)))</f>
        <v/>
      </c>
      <c r="X157" s="15" t="str">
        <f>IF(C157&lt;&gt;"OK","",EDATE(M157,Assumptions!$B$16))</f>
        <v/>
      </c>
    </row>
    <row r="158" spans="1:24" ht="22" customHeight="1">
      <c r="A158" s="11" t="str">
        <f>IF('Case inputs'!A158="","",'Case inputs'!A158)</f>
        <v/>
      </c>
      <c r="B158" s="11" t="str">
        <f>IF(A158="","",'Case inputs'!C158)</f>
        <v/>
      </c>
      <c r="C158" s="11" t="str">
        <f>IF('Case inputs'!I158="","",IF(Assumptions!$B$38&lt;&gt;"OK","ASSUMPTIONS INVALID",'Case inputs'!I158))</f>
        <v/>
      </c>
      <c r="D158" s="11" t="str">
        <f>IF(C158&lt;&gt;"OK","",VLOOKUP('Case inputs'!E158,Benchmarks!$A$6:$C$164,3,FALSE))</f>
        <v/>
      </c>
      <c r="E158" s="11" t="str">
        <f>IF(C158&lt;&gt;"OK","",Assumptions!$B$5-'Case inputs'!D158)</f>
        <v/>
      </c>
      <c r="F158" s="15" t="str">
        <f>IF(C158&lt;&gt;"OK","",IF(B158="INITIAL",'Case inputs'!D158+Assumptions!$B$10,IF(B158="RECON",'Case inputs'!D158+Assumptions!$B$11,EDATE('Case inputs'!D158,INT(D158))+ROUND(MOD(D158,1)*30.44,0))))</f>
        <v/>
      </c>
      <c r="G158" s="11" t="str">
        <f>IF(C158&lt;&gt;"OK","",IF(AND(B158="HEARING",'Case inputs'!F158&lt;&gt;"",'Case inputs'!F158&gt;=Assumptions!$B$5),"SCHEDULED",IF('Case inputs'!G158&lt;&gt;"","REVIEWED OVERRIDE",IF(F158&lt;Assumptions!$B$5,"OVERDUE: FUTURE WINDOW","BENCHMARK SCENARIO"))))</f>
        <v/>
      </c>
      <c r="H158" s="15" t="str">
        <f>IF(C158&lt;&gt;"OK","",IF(G158="SCHEDULED",'Case inputs'!F158,IF('Case inputs'!G158&lt;&gt;"",'Case inputs'!G158,IF(F158&lt;Assumptions!$B$5,EDATE(Assumptions!$B$5,Assumptions!$B$17),F158))))</f>
        <v/>
      </c>
      <c r="I158" s="16" t="str">
        <f t="shared" si="8"/>
        <v/>
      </c>
      <c r="J158" s="15" t="str">
        <f>IF(C158&lt;&gt;"OK","",IF(B158="INITIAL",EDATE(I158,Assumptions!$B$12)+Assumptions!$B$11,IF(B158="RECON",H158,"")))</f>
        <v/>
      </c>
      <c r="K158" s="15" t="str">
        <f>IF(C158&lt;&gt;"OK","",IF(B158="HEARING",'Case inputs'!D158,EDATE(J158,Assumptions!$B$13)))</f>
        <v/>
      </c>
      <c r="L158" s="15" t="str">
        <f>IF(C158&lt;&gt;"OK","",IF(G158="SCHEDULED",H158,EDATE(IF(B158="HEARING",H158,EDATE(K158,INT(D158))+ROUND(MOD(D158,1)*30.44,0)),Assumptions!$B$18)))</f>
        <v/>
      </c>
      <c r="M158" s="15" t="str">
        <f>IF(C158&lt;&gt;"OK","",EDATE(L158,Assumptions!$B$15))</f>
        <v/>
      </c>
      <c r="N158" s="17" t="str">
        <f>IF(C158&lt;&gt;"OK","",IF(B158="INITIAL",Assumptions!$B$21,0))</f>
        <v/>
      </c>
      <c r="O158" s="17" t="str">
        <f>IF(C158&lt;&gt;"OK","",IF(B158="INITIAL",(1-Assumptions!$B$21)*Assumptions!$B$24*Assumptions!$B$22,IF(B158="RECON",Assumptions!$B$22,0)))</f>
        <v/>
      </c>
      <c r="P158" s="17" t="str">
        <f>IF(C158&lt;&gt;"OK","",IF(B158="INITIAL",(1-Assumptions!$B$21)*Assumptions!$B$24*(1-Assumptions!$B$22)*Assumptions!$B$25,IF(B158="RECON",(1-Assumptions!$B$22)*Assumptions!$B$25,1)))</f>
        <v/>
      </c>
      <c r="Q158" s="17" t="str">
        <f>IF(C158&lt;&gt;"OK","",IF(B158="INITIAL",(1-Assumptions!$B$21)*(1-Assumptions!$B$24),0))</f>
        <v/>
      </c>
      <c r="R158" s="17" t="str">
        <f>IF(C158&lt;&gt;"OK","",IF(B158="INITIAL",(1-Assumptions!$B$21)*Assumptions!$B$24*(1-Assumptions!$B$22)*(1-Assumptions!$B$25),IF(B158="RECON",(1-Assumptions!$B$22)*(1-Assumptions!$B$25),0)))</f>
        <v/>
      </c>
      <c r="S158" s="17" t="str">
        <f>IF(C158&lt;&gt;"OK","",P158*Assumptions!$B$23)</f>
        <v/>
      </c>
      <c r="T158" s="17" t="str">
        <f>IF(C158&lt;&gt;"OK","",P158*(1-Assumptions!$B$23))</f>
        <v/>
      </c>
      <c r="U158" s="18" t="str">
        <f t="shared" si="9"/>
        <v/>
      </c>
      <c r="V158" s="15" t="str">
        <f>IF(C158&lt;&gt;"OK","",IF(B158="INITIAL",EDATE(I158,Assumptions!$B$14),""))</f>
        <v/>
      </c>
      <c r="W158" s="15" t="str">
        <f>IF(C158&lt;&gt;"OK","",IF(B158="HEARING","",EDATE(J158,Assumptions!$B$14)))</f>
        <v/>
      </c>
      <c r="X158" s="15" t="str">
        <f>IF(C158&lt;&gt;"OK","",EDATE(M158,Assumptions!$B$16))</f>
        <v/>
      </c>
    </row>
    <row r="159" spans="1:24" ht="22" customHeight="1">
      <c r="A159" s="11" t="str">
        <f>IF('Case inputs'!A159="","",'Case inputs'!A159)</f>
        <v/>
      </c>
      <c r="B159" s="11" t="str">
        <f>IF(A159="","",'Case inputs'!C159)</f>
        <v/>
      </c>
      <c r="C159" s="11" t="str">
        <f>IF('Case inputs'!I159="","",IF(Assumptions!$B$38&lt;&gt;"OK","ASSUMPTIONS INVALID",'Case inputs'!I159))</f>
        <v/>
      </c>
      <c r="D159" s="11" t="str">
        <f>IF(C159&lt;&gt;"OK","",VLOOKUP('Case inputs'!E159,Benchmarks!$A$6:$C$164,3,FALSE))</f>
        <v/>
      </c>
      <c r="E159" s="11" t="str">
        <f>IF(C159&lt;&gt;"OK","",Assumptions!$B$5-'Case inputs'!D159)</f>
        <v/>
      </c>
      <c r="F159" s="15" t="str">
        <f>IF(C159&lt;&gt;"OK","",IF(B159="INITIAL",'Case inputs'!D159+Assumptions!$B$10,IF(B159="RECON",'Case inputs'!D159+Assumptions!$B$11,EDATE('Case inputs'!D159,INT(D159))+ROUND(MOD(D159,1)*30.44,0))))</f>
        <v/>
      </c>
      <c r="G159" s="11" t="str">
        <f>IF(C159&lt;&gt;"OK","",IF(AND(B159="HEARING",'Case inputs'!F159&lt;&gt;"",'Case inputs'!F159&gt;=Assumptions!$B$5),"SCHEDULED",IF('Case inputs'!G159&lt;&gt;"","REVIEWED OVERRIDE",IF(F159&lt;Assumptions!$B$5,"OVERDUE: FUTURE WINDOW","BENCHMARK SCENARIO"))))</f>
        <v/>
      </c>
      <c r="H159" s="15" t="str">
        <f>IF(C159&lt;&gt;"OK","",IF(G159="SCHEDULED",'Case inputs'!F159,IF('Case inputs'!G159&lt;&gt;"",'Case inputs'!G159,IF(F159&lt;Assumptions!$B$5,EDATE(Assumptions!$B$5,Assumptions!$B$17),F159))))</f>
        <v/>
      </c>
      <c r="I159" s="16" t="str">
        <f t="shared" si="8"/>
        <v/>
      </c>
      <c r="J159" s="15" t="str">
        <f>IF(C159&lt;&gt;"OK","",IF(B159="INITIAL",EDATE(I159,Assumptions!$B$12)+Assumptions!$B$11,IF(B159="RECON",H159,"")))</f>
        <v/>
      </c>
      <c r="K159" s="15" t="str">
        <f>IF(C159&lt;&gt;"OK","",IF(B159="HEARING",'Case inputs'!D159,EDATE(J159,Assumptions!$B$13)))</f>
        <v/>
      </c>
      <c r="L159" s="15" t="str">
        <f>IF(C159&lt;&gt;"OK","",IF(G159="SCHEDULED",H159,EDATE(IF(B159="HEARING",H159,EDATE(K159,INT(D159))+ROUND(MOD(D159,1)*30.44,0)),Assumptions!$B$18)))</f>
        <v/>
      </c>
      <c r="M159" s="15" t="str">
        <f>IF(C159&lt;&gt;"OK","",EDATE(L159,Assumptions!$B$15))</f>
        <v/>
      </c>
      <c r="N159" s="17" t="str">
        <f>IF(C159&lt;&gt;"OK","",IF(B159="INITIAL",Assumptions!$B$21,0))</f>
        <v/>
      </c>
      <c r="O159" s="17" t="str">
        <f>IF(C159&lt;&gt;"OK","",IF(B159="INITIAL",(1-Assumptions!$B$21)*Assumptions!$B$24*Assumptions!$B$22,IF(B159="RECON",Assumptions!$B$22,0)))</f>
        <v/>
      </c>
      <c r="P159" s="17" t="str">
        <f>IF(C159&lt;&gt;"OK","",IF(B159="INITIAL",(1-Assumptions!$B$21)*Assumptions!$B$24*(1-Assumptions!$B$22)*Assumptions!$B$25,IF(B159="RECON",(1-Assumptions!$B$22)*Assumptions!$B$25,1)))</f>
        <v/>
      </c>
      <c r="Q159" s="17" t="str">
        <f>IF(C159&lt;&gt;"OK","",IF(B159="INITIAL",(1-Assumptions!$B$21)*(1-Assumptions!$B$24),0))</f>
        <v/>
      </c>
      <c r="R159" s="17" t="str">
        <f>IF(C159&lt;&gt;"OK","",IF(B159="INITIAL",(1-Assumptions!$B$21)*Assumptions!$B$24*(1-Assumptions!$B$22)*(1-Assumptions!$B$25),IF(B159="RECON",(1-Assumptions!$B$22)*(1-Assumptions!$B$25),0)))</f>
        <v/>
      </c>
      <c r="S159" s="17" t="str">
        <f>IF(C159&lt;&gt;"OK","",P159*Assumptions!$B$23)</f>
        <v/>
      </c>
      <c r="T159" s="17" t="str">
        <f>IF(C159&lt;&gt;"OK","",P159*(1-Assumptions!$B$23))</f>
        <v/>
      </c>
      <c r="U159" s="18" t="str">
        <f t="shared" si="9"/>
        <v/>
      </c>
      <c r="V159" s="15" t="str">
        <f>IF(C159&lt;&gt;"OK","",IF(B159="INITIAL",EDATE(I159,Assumptions!$B$14),""))</f>
        <v/>
      </c>
      <c r="W159" s="15" t="str">
        <f>IF(C159&lt;&gt;"OK","",IF(B159="HEARING","",EDATE(J159,Assumptions!$B$14)))</f>
        <v/>
      </c>
      <c r="X159" s="15" t="str">
        <f>IF(C159&lt;&gt;"OK","",EDATE(M159,Assumptions!$B$16))</f>
        <v/>
      </c>
    </row>
    <row r="160" spans="1:24" ht="22" customHeight="1">
      <c r="A160" s="11" t="str">
        <f>IF('Case inputs'!A160="","",'Case inputs'!A160)</f>
        <v/>
      </c>
      <c r="B160" s="11" t="str">
        <f>IF(A160="","",'Case inputs'!C160)</f>
        <v/>
      </c>
      <c r="C160" s="11" t="str">
        <f>IF('Case inputs'!I160="","",IF(Assumptions!$B$38&lt;&gt;"OK","ASSUMPTIONS INVALID",'Case inputs'!I160))</f>
        <v/>
      </c>
      <c r="D160" s="11" t="str">
        <f>IF(C160&lt;&gt;"OK","",VLOOKUP('Case inputs'!E160,Benchmarks!$A$6:$C$164,3,FALSE))</f>
        <v/>
      </c>
      <c r="E160" s="11" t="str">
        <f>IF(C160&lt;&gt;"OK","",Assumptions!$B$5-'Case inputs'!D160)</f>
        <v/>
      </c>
      <c r="F160" s="15" t="str">
        <f>IF(C160&lt;&gt;"OK","",IF(B160="INITIAL",'Case inputs'!D160+Assumptions!$B$10,IF(B160="RECON",'Case inputs'!D160+Assumptions!$B$11,EDATE('Case inputs'!D160,INT(D160))+ROUND(MOD(D160,1)*30.44,0))))</f>
        <v/>
      </c>
      <c r="G160" s="11" t="str">
        <f>IF(C160&lt;&gt;"OK","",IF(AND(B160="HEARING",'Case inputs'!F160&lt;&gt;"",'Case inputs'!F160&gt;=Assumptions!$B$5),"SCHEDULED",IF('Case inputs'!G160&lt;&gt;"","REVIEWED OVERRIDE",IF(F160&lt;Assumptions!$B$5,"OVERDUE: FUTURE WINDOW","BENCHMARK SCENARIO"))))</f>
        <v/>
      </c>
      <c r="H160" s="15" t="str">
        <f>IF(C160&lt;&gt;"OK","",IF(G160="SCHEDULED",'Case inputs'!F160,IF('Case inputs'!G160&lt;&gt;"",'Case inputs'!G160,IF(F160&lt;Assumptions!$B$5,EDATE(Assumptions!$B$5,Assumptions!$B$17),F160))))</f>
        <v/>
      </c>
      <c r="I160" s="16" t="str">
        <f t="shared" si="8"/>
        <v/>
      </c>
      <c r="J160" s="15" t="str">
        <f>IF(C160&lt;&gt;"OK","",IF(B160="INITIAL",EDATE(I160,Assumptions!$B$12)+Assumptions!$B$11,IF(B160="RECON",H160,"")))</f>
        <v/>
      </c>
      <c r="K160" s="15" t="str">
        <f>IF(C160&lt;&gt;"OK","",IF(B160="HEARING",'Case inputs'!D160,EDATE(J160,Assumptions!$B$13)))</f>
        <v/>
      </c>
      <c r="L160" s="15" t="str">
        <f>IF(C160&lt;&gt;"OK","",IF(G160="SCHEDULED",H160,EDATE(IF(B160="HEARING",H160,EDATE(K160,INT(D160))+ROUND(MOD(D160,1)*30.44,0)),Assumptions!$B$18)))</f>
        <v/>
      </c>
      <c r="M160" s="15" t="str">
        <f>IF(C160&lt;&gt;"OK","",EDATE(L160,Assumptions!$B$15))</f>
        <v/>
      </c>
      <c r="N160" s="17" t="str">
        <f>IF(C160&lt;&gt;"OK","",IF(B160="INITIAL",Assumptions!$B$21,0))</f>
        <v/>
      </c>
      <c r="O160" s="17" t="str">
        <f>IF(C160&lt;&gt;"OK","",IF(B160="INITIAL",(1-Assumptions!$B$21)*Assumptions!$B$24*Assumptions!$B$22,IF(B160="RECON",Assumptions!$B$22,0)))</f>
        <v/>
      </c>
      <c r="P160" s="17" t="str">
        <f>IF(C160&lt;&gt;"OK","",IF(B160="INITIAL",(1-Assumptions!$B$21)*Assumptions!$B$24*(1-Assumptions!$B$22)*Assumptions!$B$25,IF(B160="RECON",(1-Assumptions!$B$22)*Assumptions!$B$25,1)))</f>
        <v/>
      </c>
      <c r="Q160" s="17" t="str">
        <f>IF(C160&lt;&gt;"OK","",IF(B160="INITIAL",(1-Assumptions!$B$21)*(1-Assumptions!$B$24),0))</f>
        <v/>
      </c>
      <c r="R160" s="17" t="str">
        <f>IF(C160&lt;&gt;"OK","",IF(B160="INITIAL",(1-Assumptions!$B$21)*Assumptions!$B$24*(1-Assumptions!$B$22)*(1-Assumptions!$B$25),IF(B160="RECON",(1-Assumptions!$B$22)*(1-Assumptions!$B$25),0)))</f>
        <v/>
      </c>
      <c r="S160" s="17" t="str">
        <f>IF(C160&lt;&gt;"OK","",P160*Assumptions!$B$23)</f>
        <v/>
      </c>
      <c r="T160" s="17" t="str">
        <f>IF(C160&lt;&gt;"OK","",P160*(1-Assumptions!$B$23))</f>
        <v/>
      </c>
      <c r="U160" s="18" t="str">
        <f t="shared" si="9"/>
        <v/>
      </c>
      <c r="V160" s="15" t="str">
        <f>IF(C160&lt;&gt;"OK","",IF(B160="INITIAL",EDATE(I160,Assumptions!$B$14),""))</f>
        <v/>
      </c>
      <c r="W160" s="15" t="str">
        <f>IF(C160&lt;&gt;"OK","",IF(B160="HEARING","",EDATE(J160,Assumptions!$B$14)))</f>
        <v/>
      </c>
      <c r="X160" s="15" t="str">
        <f>IF(C160&lt;&gt;"OK","",EDATE(M160,Assumptions!$B$16))</f>
        <v/>
      </c>
    </row>
    <row r="161" spans="1:24" ht="22" customHeight="1">
      <c r="A161" s="11" t="str">
        <f>IF('Case inputs'!A161="","",'Case inputs'!A161)</f>
        <v/>
      </c>
      <c r="B161" s="11" t="str">
        <f>IF(A161="","",'Case inputs'!C161)</f>
        <v/>
      </c>
      <c r="C161" s="11" t="str">
        <f>IF('Case inputs'!I161="","",IF(Assumptions!$B$38&lt;&gt;"OK","ASSUMPTIONS INVALID",'Case inputs'!I161))</f>
        <v/>
      </c>
      <c r="D161" s="11" t="str">
        <f>IF(C161&lt;&gt;"OK","",VLOOKUP('Case inputs'!E161,Benchmarks!$A$6:$C$164,3,FALSE))</f>
        <v/>
      </c>
      <c r="E161" s="11" t="str">
        <f>IF(C161&lt;&gt;"OK","",Assumptions!$B$5-'Case inputs'!D161)</f>
        <v/>
      </c>
      <c r="F161" s="15" t="str">
        <f>IF(C161&lt;&gt;"OK","",IF(B161="INITIAL",'Case inputs'!D161+Assumptions!$B$10,IF(B161="RECON",'Case inputs'!D161+Assumptions!$B$11,EDATE('Case inputs'!D161,INT(D161))+ROUND(MOD(D161,1)*30.44,0))))</f>
        <v/>
      </c>
      <c r="G161" s="11" t="str">
        <f>IF(C161&lt;&gt;"OK","",IF(AND(B161="HEARING",'Case inputs'!F161&lt;&gt;"",'Case inputs'!F161&gt;=Assumptions!$B$5),"SCHEDULED",IF('Case inputs'!G161&lt;&gt;"","REVIEWED OVERRIDE",IF(F161&lt;Assumptions!$B$5,"OVERDUE: FUTURE WINDOW","BENCHMARK SCENARIO"))))</f>
        <v/>
      </c>
      <c r="H161" s="15" t="str">
        <f>IF(C161&lt;&gt;"OK","",IF(G161="SCHEDULED",'Case inputs'!F161,IF('Case inputs'!G161&lt;&gt;"",'Case inputs'!G161,IF(F161&lt;Assumptions!$B$5,EDATE(Assumptions!$B$5,Assumptions!$B$17),F161))))</f>
        <v/>
      </c>
      <c r="I161" s="16" t="str">
        <f t="shared" si="8"/>
        <v/>
      </c>
      <c r="J161" s="15" t="str">
        <f>IF(C161&lt;&gt;"OK","",IF(B161="INITIAL",EDATE(I161,Assumptions!$B$12)+Assumptions!$B$11,IF(B161="RECON",H161,"")))</f>
        <v/>
      </c>
      <c r="K161" s="15" t="str">
        <f>IF(C161&lt;&gt;"OK","",IF(B161="HEARING",'Case inputs'!D161,EDATE(J161,Assumptions!$B$13)))</f>
        <v/>
      </c>
      <c r="L161" s="15" t="str">
        <f>IF(C161&lt;&gt;"OK","",IF(G161="SCHEDULED",H161,EDATE(IF(B161="HEARING",H161,EDATE(K161,INT(D161))+ROUND(MOD(D161,1)*30.44,0)),Assumptions!$B$18)))</f>
        <v/>
      </c>
      <c r="M161" s="15" t="str">
        <f>IF(C161&lt;&gt;"OK","",EDATE(L161,Assumptions!$B$15))</f>
        <v/>
      </c>
      <c r="N161" s="17" t="str">
        <f>IF(C161&lt;&gt;"OK","",IF(B161="INITIAL",Assumptions!$B$21,0))</f>
        <v/>
      </c>
      <c r="O161" s="17" t="str">
        <f>IF(C161&lt;&gt;"OK","",IF(B161="INITIAL",(1-Assumptions!$B$21)*Assumptions!$B$24*Assumptions!$B$22,IF(B161="RECON",Assumptions!$B$22,0)))</f>
        <v/>
      </c>
      <c r="P161" s="17" t="str">
        <f>IF(C161&lt;&gt;"OK","",IF(B161="INITIAL",(1-Assumptions!$B$21)*Assumptions!$B$24*(1-Assumptions!$B$22)*Assumptions!$B$25,IF(B161="RECON",(1-Assumptions!$B$22)*Assumptions!$B$25,1)))</f>
        <v/>
      </c>
      <c r="Q161" s="17" t="str">
        <f>IF(C161&lt;&gt;"OK","",IF(B161="INITIAL",(1-Assumptions!$B$21)*(1-Assumptions!$B$24),0))</f>
        <v/>
      </c>
      <c r="R161" s="17" t="str">
        <f>IF(C161&lt;&gt;"OK","",IF(B161="INITIAL",(1-Assumptions!$B$21)*Assumptions!$B$24*(1-Assumptions!$B$22)*(1-Assumptions!$B$25),IF(B161="RECON",(1-Assumptions!$B$22)*(1-Assumptions!$B$25),0)))</f>
        <v/>
      </c>
      <c r="S161" s="17" t="str">
        <f>IF(C161&lt;&gt;"OK","",P161*Assumptions!$B$23)</f>
        <v/>
      </c>
      <c r="T161" s="17" t="str">
        <f>IF(C161&lt;&gt;"OK","",P161*(1-Assumptions!$B$23))</f>
        <v/>
      </c>
      <c r="U161" s="18" t="str">
        <f t="shared" si="9"/>
        <v/>
      </c>
      <c r="V161" s="15" t="str">
        <f>IF(C161&lt;&gt;"OK","",IF(B161="INITIAL",EDATE(I161,Assumptions!$B$14),""))</f>
        <v/>
      </c>
      <c r="W161" s="15" t="str">
        <f>IF(C161&lt;&gt;"OK","",IF(B161="HEARING","",EDATE(J161,Assumptions!$B$14)))</f>
        <v/>
      </c>
      <c r="X161" s="15" t="str">
        <f>IF(C161&lt;&gt;"OK","",EDATE(M161,Assumptions!$B$16))</f>
        <v/>
      </c>
    </row>
    <row r="162" spans="1:24" ht="22" customHeight="1">
      <c r="A162" s="11" t="str">
        <f>IF('Case inputs'!A162="","",'Case inputs'!A162)</f>
        <v/>
      </c>
      <c r="B162" s="11" t="str">
        <f>IF(A162="","",'Case inputs'!C162)</f>
        <v/>
      </c>
      <c r="C162" s="11" t="str">
        <f>IF('Case inputs'!I162="","",IF(Assumptions!$B$38&lt;&gt;"OK","ASSUMPTIONS INVALID",'Case inputs'!I162))</f>
        <v/>
      </c>
      <c r="D162" s="11" t="str">
        <f>IF(C162&lt;&gt;"OK","",VLOOKUP('Case inputs'!E162,Benchmarks!$A$6:$C$164,3,FALSE))</f>
        <v/>
      </c>
      <c r="E162" s="11" t="str">
        <f>IF(C162&lt;&gt;"OK","",Assumptions!$B$5-'Case inputs'!D162)</f>
        <v/>
      </c>
      <c r="F162" s="15" t="str">
        <f>IF(C162&lt;&gt;"OK","",IF(B162="INITIAL",'Case inputs'!D162+Assumptions!$B$10,IF(B162="RECON",'Case inputs'!D162+Assumptions!$B$11,EDATE('Case inputs'!D162,INT(D162))+ROUND(MOD(D162,1)*30.44,0))))</f>
        <v/>
      </c>
      <c r="G162" s="11" t="str">
        <f>IF(C162&lt;&gt;"OK","",IF(AND(B162="HEARING",'Case inputs'!F162&lt;&gt;"",'Case inputs'!F162&gt;=Assumptions!$B$5),"SCHEDULED",IF('Case inputs'!G162&lt;&gt;"","REVIEWED OVERRIDE",IF(F162&lt;Assumptions!$B$5,"OVERDUE: FUTURE WINDOW","BENCHMARK SCENARIO"))))</f>
        <v/>
      </c>
      <c r="H162" s="15" t="str">
        <f>IF(C162&lt;&gt;"OK","",IF(G162="SCHEDULED",'Case inputs'!F162,IF('Case inputs'!G162&lt;&gt;"",'Case inputs'!G162,IF(F162&lt;Assumptions!$B$5,EDATE(Assumptions!$B$5,Assumptions!$B$17),F162))))</f>
        <v/>
      </c>
      <c r="I162" s="16" t="str">
        <f t="shared" si="8"/>
        <v/>
      </c>
      <c r="J162" s="15" t="str">
        <f>IF(C162&lt;&gt;"OK","",IF(B162="INITIAL",EDATE(I162,Assumptions!$B$12)+Assumptions!$B$11,IF(B162="RECON",H162,"")))</f>
        <v/>
      </c>
      <c r="K162" s="15" t="str">
        <f>IF(C162&lt;&gt;"OK","",IF(B162="HEARING",'Case inputs'!D162,EDATE(J162,Assumptions!$B$13)))</f>
        <v/>
      </c>
      <c r="L162" s="15" t="str">
        <f>IF(C162&lt;&gt;"OK","",IF(G162="SCHEDULED",H162,EDATE(IF(B162="HEARING",H162,EDATE(K162,INT(D162))+ROUND(MOD(D162,1)*30.44,0)),Assumptions!$B$18)))</f>
        <v/>
      </c>
      <c r="M162" s="15" t="str">
        <f>IF(C162&lt;&gt;"OK","",EDATE(L162,Assumptions!$B$15))</f>
        <v/>
      </c>
      <c r="N162" s="17" t="str">
        <f>IF(C162&lt;&gt;"OK","",IF(B162="INITIAL",Assumptions!$B$21,0))</f>
        <v/>
      </c>
      <c r="O162" s="17" t="str">
        <f>IF(C162&lt;&gt;"OK","",IF(B162="INITIAL",(1-Assumptions!$B$21)*Assumptions!$B$24*Assumptions!$B$22,IF(B162="RECON",Assumptions!$B$22,0)))</f>
        <v/>
      </c>
      <c r="P162" s="17" t="str">
        <f>IF(C162&lt;&gt;"OK","",IF(B162="INITIAL",(1-Assumptions!$B$21)*Assumptions!$B$24*(1-Assumptions!$B$22)*Assumptions!$B$25,IF(B162="RECON",(1-Assumptions!$B$22)*Assumptions!$B$25,1)))</f>
        <v/>
      </c>
      <c r="Q162" s="17" t="str">
        <f>IF(C162&lt;&gt;"OK","",IF(B162="INITIAL",(1-Assumptions!$B$21)*(1-Assumptions!$B$24),0))</f>
        <v/>
      </c>
      <c r="R162" s="17" t="str">
        <f>IF(C162&lt;&gt;"OK","",IF(B162="INITIAL",(1-Assumptions!$B$21)*Assumptions!$B$24*(1-Assumptions!$B$22)*(1-Assumptions!$B$25),IF(B162="RECON",(1-Assumptions!$B$22)*(1-Assumptions!$B$25),0)))</f>
        <v/>
      </c>
      <c r="S162" s="17" t="str">
        <f>IF(C162&lt;&gt;"OK","",P162*Assumptions!$B$23)</f>
        <v/>
      </c>
      <c r="T162" s="17" t="str">
        <f>IF(C162&lt;&gt;"OK","",P162*(1-Assumptions!$B$23))</f>
        <v/>
      </c>
      <c r="U162" s="18" t="str">
        <f t="shared" si="9"/>
        <v/>
      </c>
      <c r="V162" s="15" t="str">
        <f>IF(C162&lt;&gt;"OK","",IF(B162="INITIAL",EDATE(I162,Assumptions!$B$14),""))</f>
        <v/>
      </c>
      <c r="W162" s="15" t="str">
        <f>IF(C162&lt;&gt;"OK","",IF(B162="HEARING","",EDATE(J162,Assumptions!$B$14)))</f>
        <v/>
      </c>
      <c r="X162" s="15" t="str">
        <f>IF(C162&lt;&gt;"OK","",EDATE(M162,Assumptions!$B$16))</f>
        <v/>
      </c>
    </row>
    <row r="163" spans="1:24" ht="22" customHeight="1">
      <c r="A163" s="11" t="str">
        <f>IF('Case inputs'!A163="","",'Case inputs'!A163)</f>
        <v/>
      </c>
      <c r="B163" s="11" t="str">
        <f>IF(A163="","",'Case inputs'!C163)</f>
        <v/>
      </c>
      <c r="C163" s="11" t="str">
        <f>IF('Case inputs'!I163="","",IF(Assumptions!$B$38&lt;&gt;"OK","ASSUMPTIONS INVALID",'Case inputs'!I163))</f>
        <v/>
      </c>
      <c r="D163" s="11" t="str">
        <f>IF(C163&lt;&gt;"OK","",VLOOKUP('Case inputs'!E163,Benchmarks!$A$6:$C$164,3,FALSE))</f>
        <v/>
      </c>
      <c r="E163" s="11" t="str">
        <f>IF(C163&lt;&gt;"OK","",Assumptions!$B$5-'Case inputs'!D163)</f>
        <v/>
      </c>
      <c r="F163" s="15" t="str">
        <f>IF(C163&lt;&gt;"OK","",IF(B163="INITIAL",'Case inputs'!D163+Assumptions!$B$10,IF(B163="RECON",'Case inputs'!D163+Assumptions!$B$11,EDATE('Case inputs'!D163,INT(D163))+ROUND(MOD(D163,1)*30.44,0))))</f>
        <v/>
      </c>
      <c r="G163" s="11" t="str">
        <f>IF(C163&lt;&gt;"OK","",IF(AND(B163="HEARING",'Case inputs'!F163&lt;&gt;"",'Case inputs'!F163&gt;=Assumptions!$B$5),"SCHEDULED",IF('Case inputs'!G163&lt;&gt;"","REVIEWED OVERRIDE",IF(F163&lt;Assumptions!$B$5,"OVERDUE: FUTURE WINDOW","BENCHMARK SCENARIO"))))</f>
        <v/>
      </c>
      <c r="H163" s="15" t="str">
        <f>IF(C163&lt;&gt;"OK","",IF(G163="SCHEDULED",'Case inputs'!F163,IF('Case inputs'!G163&lt;&gt;"",'Case inputs'!G163,IF(F163&lt;Assumptions!$B$5,EDATE(Assumptions!$B$5,Assumptions!$B$17),F163))))</f>
        <v/>
      </c>
      <c r="I163" s="16" t="str">
        <f t="shared" si="8"/>
        <v/>
      </c>
      <c r="J163" s="15" t="str">
        <f>IF(C163&lt;&gt;"OK","",IF(B163="INITIAL",EDATE(I163,Assumptions!$B$12)+Assumptions!$B$11,IF(B163="RECON",H163,"")))</f>
        <v/>
      </c>
      <c r="K163" s="15" t="str">
        <f>IF(C163&lt;&gt;"OK","",IF(B163="HEARING",'Case inputs'!D163,EDATE(J163,Assumptions!$B$13)))</f>
        <v/>
      </c>
      <c r="L163" s="15" t="str">
        <f>IF(C163&lt;&gt;"OK","",IF(G163="SCHEDULED",H163,EDATE(IF(B163="HEARING",H163,EDATE(K163,INT(D163))+ROUND(MOD(D163,1)*30.44,0)),Assumptions!$B$18)))</f>
        <v/>
      </c>
      <c r="M163" s="15" t="str">
        <f>IF(C163&lt;&gt;"OK","",EDATE(L163,Assumptions!$B$15))</f>
        <v/>
      </c>
      <c r="N163" s="17" t="str">
        <f>IF(C163&lt;&gt;"OK","",IF(B163="INITIAL",Assumptions!$B$21,0))</f>
        <v/>
      </c>
      <c r="O163" s="17" t="str">
        <f>IF(C163&lt;&gt;"OK","",IF(B163="INITIAL",(1-Assumptions!$B$21)*Assumptions!$B$24*Assumptions!$B$22,IF(B163="RECON",Assumptions!$B$22,0)))</f>
        <v/>
      </c>
      <c r="P163" s="17" t="str">
        <f>IF(C163&lt;&gt;"OK","",IF(B163="INITIAL",(1-Assumptions!$B$21)*Assumptions!$B$24*(1-Assumptions!$B$22)*Assumptions!$B$25,IF(B163="RECON",(1-Assumptions!$B$22)*Assumptions!$B$25,1)))</f>
        <v/>
      </c>
      <c r="Q163" s="17" t="str">
        <f>IF(C163&lt;&gt;"OK","",IF(B163="INITIAL",(1-Assumptions!$B$21)*(1-Assumptions!$B$24),0))</f>
        <v/>
      </c>
      <c r="R163" s="17" t="str">
        <f>IF(C163&lt;&gt;"OK","",IF(B163="INITIAL",(1-Assumptions!$B$21)*Assumptions!$B$24*(1-Assumptions!$B$22)*(1-Assumptions!$B$25),IF(B163="RECON",(1-Assumptions!$B$22)*(1-Assumptions!$B$25),0)))</f>
        <v/>
      </c>
      <c r="S163" s="17" t="str">
        <f>IF(C163&lt;&gt;"OK","",P163*Assumptions!$B$23)</f>
        <v/>
      </c>
      <c r="T163" s="17" t="str">
        <f>IF(C163&lt;&gt;"OK","",P163*(1-Assumptions!$B$23))</f>
        <v/>
      </c>
      <c r="U163" s="18" t="str">
        <f t="shared" si="9"/>
        <v/>
      </c>
      <c r="V163" s="15" t="str">
        <f>IF(C163&lt;&gt;"OK","",IF(B163="INITIAL",EDATE(I163,Assumptions!$B$14),""))</f>
        <v/>
      </c>
      <c r="W163" s="15" t="str">
        <f>IF(C163&lt;&gt;"OK","",IF(B163="HEARING","",EDATE(J163,Assumptions!$B$14)))</f>
        <v/>
      </c>
      <c r="X163" s="15" t="str">
        <f>IF(C163&lt;&gt;"OK","",EDATE(M163,Assumptions!$B$16))</f>
        <v/>
      </c>
    </row>
    <row r="164" spans="1:24" ht="22" customHeight="1">
      <c r="A164" s="11" t="str">
        <f>IF('Case inputs'!A164="","",'Case inputs'!A164)</f>
        <v/>
      </c>
      <c r="B164" s="11" t="str">
        <f>IF(A164="","",'Case inputs'!C164)</f>
        <v/>
      </c>
      <c r="C164" s="11" t="str">
        <f>IF('Case inputs'!I164="","",IF(Assumptions!$B$38&lt;&gt;"OK","ASSUMPTIONS INVALID",'Case inputs'!I164))</f>
        <v/>
      </c>
      <c r="D164" s="11" t="str">
        <f>IF(C164&lt;&gt;"OK","",VLOOKUP('Case inputs'!E164,Benchmarks!$A$6:$C$164,3,FALSE))</f>
        <v/>
      </c>
      <c r="E164" s="11" t="str">
        <f>IF(C164&lt;&gt;"OK","",Assumptions!$B$5-'Case inputs'!D164)</f>
        <v/>
      </c>
      <c r="F164" s="15" t="str">
        <f>IF(C164&lt;&gt;"OK","",IF(B164="INITIAL",'Case inputs'!D164+Assumptions!$B$10,IF(B164="RECON",'Case inputs'!D164+Assumptions!$B$11,EDATE('Case inputs'!D164,INT(D164))+ROUND(MOD(D164,1)*30.44,0))))</f>
        <v/>
      </c>
      <c r="G164" s="11" t="str">
        <f>IF(C164&lt;&gt;"OK","",IF(AND(B164="HEARING",'Case inputs'!F164&lt;&gt;"",'Case inputs'!F164&gt;=Assumptions!$B$5),"SCHEDULED",IF('Case inputs'!G164&lt;&gt;"","REVIEWED OVERRIDE",IF(F164&lt;Assumptions!$B$5,"OVERDUE: FUTURE WINDOW","BENCHMARK SCENARIO"))))</f>
        <v/>
      </c>
      <c r="H164" s="15" t="str">
        <f>IF(C164&lt;&gt;"OK","",IF(G164="SCHEDULED",'Case inputs'!F164,IF('Case inputs'!G164&lt;&gt;"",'Case inputs'!G164,IF(F164&lt;Assumptions!$B$5,EDATE(Assumptions!$B$5,Assumptions!$B$17),F164))))</f>
        <v/>
      </c>
      <c r="I164" s="16" t="str">
        <f t="shared" si="8"/>
        <v/>
      </c>
      <c r="J164" s="15" t="str">
        <f>IF(C164&lt;&gt;"OK","",IF(B164="INITIAL",EDATE(I164,Assumptions!$B$12)+Assumptions!$B$11,IF(B164="RECON",H164,"")))</f>
        <v/>
      </c>
      <c r="K164" s="15" t="str">
        <f>IF(C164&lt;&gt;"OK","",IF(B164="HEARING",'Case inputs'!D164,EDATE(J164,Assumptions!$B$13)))</f>
        <v/>
      </c>
      <c r="L164" s="15" t="str">
        <f>IF(C164&lt;&gt;"OK","",IF(G164="SCHEDULED",H164,EDATE(IF(B164="HEARING",H164,EDATE(K164,INT(D164))+ROUND(MOD(D164,1)*30.44,0)),Assumptions!$B$18)))</f>
        <v/>
      </c>
      <c r="M164" s="15" t="str">
        <f>IF(C164&lt;&gt;"OK","",EDATE(L164,Assumptions!$B$15))</f>
        <v/>
      </c>
      <c r="N164" s="17" t="str">
        <f>IF(C164&lt;&gt;"OK","",IF(B164="INITIAL",Assumptions!$B$21,0))</f>
        <v/>
      </c>
      <c r="O164" s="17" t="str">
        <f>IF(C164&lt;&gt;"OK","",IF(B164="INITIAL",(1-Assumptions!$B$21)*Assumptions!$B$24*Assumptions!$B$22,IF(B164="RECON",Assumptions!$B$22,0)))</f>
        <v/>
      </c>
      <c r="P164" s="17" t="str">
        <f>IF(C164&lt;&gt;"OK","",IF(B164="INITIAL",(1-Assumptions!$B$21)*Assumptions!$B$24*(1-Assumptions!$B$22)*Assumptions!$B$25,IF(B164="RECON",(1-Assumptions!$B$22)*Assumptions!$B$25,1)))</f>
        <v/>
      </c>
      <c r="Q164" s="17" t="str">
        <f>IF(C164&lt;&gt;"OK","",IF(B164="INITIAL",(1-Assumptions!$B$21)*(1-Assumptions!$B$24),0))</f>
        <v/>
      </c>
      <c r="R164" s="17" t="str">
        <f>IF(C164&lt;&gt;"OK","",IF(B164="INITIAL",(1-Assumptions!$B$21)*Assumptions!$B$24*(1-Assumptions!$B$22)*(1-Assumptions!$B$25),IF(B164="RECON",(1-Assumptions!$B$22)*(1-Assumptions!$B$25),0)))</f>
        <v/>
      </c>
      <c r="S164" s="17" t="str">
        <f>IF(C164&lt;&gt;"OK","",P164*Assumptions!$B$23)</f>
        <v/>
      </c>
      <c r="T164" s="17" t="str">
        <f>IF(C164&lt;&gt;"OK","",P164*(1-Assumptions!$B$23))</f>
        <v/>
      </c>
      <c r="U164" s="18" t="str">
        <f t="shared" si="9"/>
        <v/>
      </c>
      <c r="V164" s="15" t="str">
        <f>IF(C164&lt;&gt;"OK","",IF(B164="INITIAL",EDATE(I164,Assumptions!$B$14),""))</f>
        <v/>
      </c>
      <c r="W164" s="15" t="str">
        <f>IF(C164&lt;&gt;"OK","",IF(B164="HEARING","",EDATE(J164,Assumptions!$B$14)))</f>
        <v/>
      </c>
      <c r="X164" s="15" t="str">
        <f>IF(C164&lt;&gt;"OK","",EDATE(M164,Assumptions!$B$16))</f>
        <v/>
      </c>
    </row>
    <row r="165" spans="1:24" ht="22" customHeight="1">
      <c r="A165" s="11" t="str">
        <f>IF('Case inputs'!A165="","",'Case inputs'!A165)</f>
        <v/>
      </c>
      <c r="B165" s="11" t="str">
        <f>IF(A165="","",'Case inputs'!C165)</f>
        <v/>
      </c>
      <c r="C165" s="11" t="str">
        <f>IF('Case inputs'!I165="","",IF(Assumptions!$B$38&lt;&gt;"OK","ASSUMPTIONS INVALID",'Case inputs'!I165))</f>
        <v/>
      </c>
      <c r="D165" s="11" t="str">
        <f>IF(C165&lt;&gt;"OK","",VLOOKUP('Case inputs'!E165,Benchmarks!$A$6:$C$164,3,FALSE))</f>
        <v/>
      </c>
      <c r="E165" s="11" t="str">
        <f>IF(C165&lt;&gt;"OK","",Assumptions!$B$5-'Case inputs'!D165)</f>
        <v/>
      </c>
      <c r="F165" s="15" t="str">
        <f>IF(C165&lt;&gt;"OK","",IF(B165="INITIAL",'Case inputs'!D165+Assumptions!$B$10,IF(B165="RECON",'Case inputs'!D165+Assumptions!$B$11,EDATE('Case inputs'!D165,INT(D165))+ROUND(MOD(D165,1)*30.44,0))))</f>
        <v/>
      </c>
      <c r="G165" s="11" t="str">
        <f>IF(C165&lt;&gt;"OK","",IF(AND(B165="HEARING",'Case inputs'!F165&lt;&gt;"",'Case inputs'!F165&gt;=Assumptions!$B$5),"SCHEDULED",IF('Case inputs'!G165&lt;&gt;"","REVIEWED OVERRIDE",IF(F165&lt;Assumptions!$B$5,"OVERDUE: FUTURE WINDOW","BENCHMARK SCENARIO"))))</f>
        <v/>
      </c>
      <c r="H165" s="15" t="str">
        <f>IF(C165&lt;&gt;"OK","",IF(G165="SCHEDULED",'Case inputs'!F165,IF('Case inputs'!G165&lt;&gt;"",'Case inputs'!G165,IF(F165&lt;Assumptions!$B$5,EDATE(Assumptions!$B$5,Assumptions!$B$17),F165))))</f>
        <v/>
      </c>
      <c r="I165" s="16" t="str">
        <f t="shared" si="8"/>
        <v/>
      </c>
      <c r="J165" s="15" t="str">
        <f>IF(C165&lt;&gt;"OK","",IF(B165="INITIAL",EDATE(I165,Assumptions!$B$12)+Assumptions!$B$11,IF(B165="RECON",H165,"")))</f>
        <v/>
      </c>
      <c r="K165" s="15" t="str">
        <f>IF(C165&lt;&gt;"OK","",IF(B165="HEARING",'Case inputs'!D165,EDATE(J165,Assumptions!$B$13)))</f>
        <v/>
      </c>
      <c r="L165" s="15" t="str">
        <f>IF(C165&lt;&gt;"OK","",IF(G165="SCHEDULED",H165,EDATE(IF(B165="HEARING",H165,EDATE(K165,INT(D165))+ROUND(MOD(D165,1)*30.44,0)),Assumptions!$B$18)))</f>
        <v/>
      </c>
      <c r="M165" s="15" t="str">
        <f>IF(C165&lt;&gt;"OK","",EDATE(L165,Assumptions!$B$15))</f>
        <v/>
      </c>
      <c r="N165" s="17" t="str">
        <f>IF(C165&lt;&gt;"OK","",IF(B165="INITIAL",Assumptions!$B$21,0))</f>
        <v/>
      </c>
      <c r="O165" s="17" t="str">
        <f>IF(C165&lt;&gt;"OK","",IF(B165="INITIAL",(1-Assumptions!$B$21)*Assumptions!$B$24*Assumptions!$B$22,IF(B165="RECON",Assumptions!$B$22,0)))</f>
        <v/>
      </c>
      <c r="P165" s="17" t="str">
        <f>IF(C165&lt;&gt;"OK","",IF(B165="INITIAL",(1-Assumptions!$B$21)*Assumptions!$B$24*(1-Assumptions!$B$22)*Assumptions!$B$25,IF(B165="RECON",(1-Assumptions!$B$22)*Assumptions!$B$25,1)))</f>
        <v/>
      </c>
      <c r="Q165" s="17" t="str">
        <f>IF(C165&lt;&gt;"OK","",IF(B165="INITIAL",(1-Assumptions!$B$21)*(1-Assumptions!$B$24),0))</f>
        <v/>
      </c>
      <c r="R165" s="17" t="str">
        <f>IF(C165&lt;&gt;"OK","",IF(B165="INITIAL",(1-Assumptions!$B$21)*Assumptions!$B$24*(1-Assumptions!$B$22)*(1-Assumptions!$B$25),IF(B165="RECON",(1-Assumptions!$B$22)*(1-Assumptions!$B$25),0)))</f>
        <v/>
      </c>
      <c r="S165" s="17" t="str">
        <f>IF(C165&lt;&gt;"OK","",P165*Assumptions!$B$23)</f>
        <v/>
      </c>
      <c r="T165" s="17" t="str">
        <f>IF(C165&lt;&gt;"OK","",P165*(1-Assumptions!$B$23))</f>
        <v/>
      </c>
      <c r="U165" s="18" t="str">
        <f t="shared" si="9"/>
        <v/>
      </c>
      <c r="V165" s="15" t="str">
        <f>IF(C165&lt;&gt;"OK","",IF(B165="INITIAL",EDATE(I165,Assumptions!$B$14),""))</f>
        <v/>
      </c>
      <c r="W165" s="15" t="str">
        <f>IF(C165&lt;&gt;"OK","",IF(B165="HEARING","",EDATE(J165,Assumptions!$B$14)))</f>
        <v/>
      </c>
      <c r="X165" s="15" t="str">
        <f>IF(C165&lt;&gt;"OK","",EDATE(M165,Assumptions!$B$16))</f>
        <v/>
      </c>
    </row>
    <row r="166" spans="1:24" ht="22" customHeight="1">
      <c r="A166" s="11" t="str">
        <f>IF('Case inputs'!A166="","",'Case inputs'!A166)</f>
        <v/>
      </c>
      <c r="B166" s="11" t="str">
        <f>IF(A166="","",'Case inputs'!C166)</f>
        <v/>
      </c>
      <c r="C166" s="11" t="str">
        <f>IF('Case inputs'!I166="","",IF(Assumptions!$B$38&lt;&gt;"OK","ASSUMPTIONS INVALID",'Case inputs'!I166))</f>
        <v/>
      </c>
      <c r="D166" s="11" t="str">
        <f>IF(C166&lt;&gt;"OK","",VLOOKUP('Case inputs'!E166,Benchmarks!$A$6:$C$164,3,FALSE))</f>
        <v/>
      </c>
      <c r="E166" s="11" t="str">
        <f>IF(C166&lt;&gt;"OK","",Assumptions!$B$5-'Case inputs'!D166)</f>
        <v/>
      </c>
      <c r="F166" s="15" t="str">
        <f>IF(C166&lt;&gt;"OK","",IF(B166="INITIAL",'Case inputs'!D166+Assumptions!$B$10,IF(B166="RECON",'Case inputs'!D166+Assumptions!$B$11,EDATE('Case inputs'!D166,INT(D166))+ROUND(MOD(D166,1)*30.44,0))))</f>
        <v/>
      </c>
      <c r="G166" s="11" t="str">
        <f>IF(C166&lt;&gt;"OK","",IF(AND(B166="HEARING",'Case inputs'!F166&lt;&gt;"",'Case inputs'!F166&gt;=Assumptions!$B$5),"SCHEDULED",IF('Case inputs'!G166&lt;&gt;"","REVIEWED OVERRIDE",IF(F166&lt;Assumptions!$B$5,"OVERDUE: FUTURE WINDOW","BENCHMARK SCENARIO"))))</f>
        <v/>
      </c>
      <c r="H166" s="15" t="str">
        <f>IF(C166&lt;&gt;"OK","",IF(G166="SCHEDULED",'Case inputs'!F166,IF('Case inputs'!G166&lt;&gt;"",'Case inputs'!G166,IF(F166&lt;Assumptions!$B$5,EDATE(Assumptions!$B$5,Assumptions!$B$17),F166))))</f>
        <v/>
      </c>
      <c r="I166" s="16" t="str">
        <f t="shared" ref="I166:I197" si="10">IF(C166&lt;&gt;"OK","",IF(B166="INITIAL",H166,""))</f>
        <v/>
      </c>
      <c r="J166" s="15" t="str">
        <f>IF(C166&lt;&gt;"OK","",IF(B166="INITIAL",EDATE(I166,Assumptions!$B$12)+Assumptions!$B$11,IF(B166="RECON",H166,"")))</f>
        <v/>
      </c>
      <c r="K166" s="15" t="str">
        <f>IF(C166&lt;&gt;"OK","",IF(B166="HEARING",'Case inputs'!D166,EDATE(J166,Assumptions!$B$13)))</f>
        <v/>
      </c>
      <c r="L166" s="15" t="str">
        <f>IF(C166&lt;&gt;"OK","",IF(G166="SCHEDULED",H166,EDATE(IF(B166="HEARING",H166,EDATE(K166,INT(D166))+ROUND(MOD(D166,1)*30.44,0)),Assumptions!$B$18)))</f>
        <v/>
      </c>
      <c r="M166" s="15" t="str">
        <f>IF(C166&lt;&gt;"OK","",EDATE(L166,Assumptions!$B$15))</f>
        <v/>
      </c>
      <c r="N166" s="17" t="str">
        <f>IF(C166&lt;&gt;"OK","",IF(B166="INITIAL",Assumptions!$B$21,0))</f>
        <v/>
      </c>
      <c r="O166" s="17" t="str">
        <f>IF(C166&lt;&gt;"OK","",IF(B166="INITIAL",(1-Assumptions!$B$21)*Assumptions!$B$24*Assumptions!$B$22,IF(B166="RECON",Assumptions!$B$22,0)))</f>
        <v/>
      </c>
      <c r="P166" s="17" t="str">
        <f>IF(C166&lt;&gt;"OK","",IF(B166="INITIAL",(1-Assumptions!$B$21)*Assumptions!$B$24*(1-Assumptions!$B$22)*Assumptions!$B$25,IF(B166="RECON",(1-Assumptions!$B$22)*Assumptions!$B$25,1)))</f>
        <v/>
      </c>
      <c r="Q166" s="17" t="str">
        <f>IF(C166&lt;&gt;"OK","",IF(B166="INITIAL",(1-Assumptions!$B$21)*(1-Assumptions!$B$24),0))</f>
        <v/>
      </c>
      <c r="R166" s="17" t="str">
        <f>IF(C166&lt;&gt;"OK","",IF(B166="INITIAL",(1-Assumptions!$B$21)*Assumptions!$B$24*(1-Assumptions!$B$22)*(1-Assumptions!$B$25),IF(B166="RECON",(1-Assumptions!$B$22)*(1-Assumptions!$B$25),0)))</f>
        <v/>
      </c>
      <c r="S166" s="17" t="str">
        <f>IF(C166&lt;&gt;"OK","",P166*Assumptions!$B$23)</f>
        <v/>
      </c>
      <c r="T166" s="17" t="str">
        <f>IF(C166&lt;&gt;"OK","",P166*(1-Assumptions!$B$23))</f>
        <v/>
      </c>
      <c r="U166" s="18" t="str">
        <f t="shared" ref="U166:U197" si="11">IF(C166&lt;&gt;"OK","",SUM(N166:O166,Q166:T166))</f>
        <v/>
      </c>
      <c r="V166" s="15" t="str">
        <f>IF(C166&lt;&gt;"OK","",IF(B166="INITIAL",EDATE(I166,Assumptions!$B$14),""))</f>
        <v/>
      </c>
      <c r="W166" s="15" t="str">
        <f>IF(C166&lt;&gt;"OK","",IF(B166="HEARING","",EDATE(J166,Assumptions!$B$14)))</f>
        <v/>
      </c>
      <c r="X166" s="15" t="str">
        <f>IF(C166&lt;&gt;"OK","",EDATE(M166,Assumptions!$B$16))</f>
        <v/>
      </c>
    </row>
    <row r="167" spans="1:24" ht="22" customHeight="1">
      <c r="A167" s="11" t="str">
        <f>IF('Case inputs'!A167="","",'Case inputs'!A167)</f>
        <v/>
      </c>
      <c r="B167" s="11" t="str">
        <f>IF(A167="","",'Case inputs'!C167)</f>
        <v/>
      </c>
      <c r="C167" s="11" t="str">
        <f>IF('Case inputs'!I167="","",IF(Assumptions!$B$38&lt;&gt;"OK","ASSUMPTIONS INVALID",'Case inputs'!I167))</f>
        <v/>
      </c>
      <c r="D167" s="11" t="str">
        <f>IF(C167&lt;&gt;"OK","",VLOOKUP('Case inputs'!E167,Benchmarks!$A$6:$C$164,3,FALSE))</f>
        <v/>
      </c>
      <c r="E167" s="11" t="str">
        <f>IF(C167&lt;&gt;"OK","",Assumptions!$B$5-'Case inputs'!D167)</f>
        <v/>
      </c>
      <c r="F167" s="15" t="str">
        <f>IF(C167&lt;&gt;"OK","",IF(B167="INITIAL",'Case inputs'!D167+Assumptions!$B$10,IF(B167="RECON",'Case inputs'!D167+Assumptions!$B$11,EDATE('Case inputs'!D167,INT(D167))+ROUND(MOD(D167,1)*30.44,0))))</f>
        <v/>
      </c>
      <c r="G167" s="11" t="str">
        <f>IF(C167&lt;&gt;"OK","",IF(AND(B167="HEARING",'Case inputs'!F167&lt;&gt;"",'Case inputs'!F167&gt;=Assumptions!$B$5),"SCHEDULED",IF('Case inputs'!G167&lt;&gt;"","REVIEWED OVERRIDE",IF(F167&lt;Assumptions!$B$5,"OVERDUE: FUTURE WINDOW","BENCHMARK SCENARIO"))))</f>
        <v/>
      </c>
      <c r="H167" s="15" t="str">
        <f>IF(C167&lt;&gt;"OK","",IF(G167="SCHEDULED",'Case inputs'!F167,IF('Case inputs'!G167&lt;&gt;"",'Case inputs'!G167,IF(F167&lt;Assumptions!$B$5,EDATE(Assumptions!$B$5,Assumptions!$B$17),F167))))</f>
        <v/>
      </c>
      <c r="I167" s="16" t="str">
        <f t="shared" si="10"/>
        <v/>
      </c>
      <c r="J167" s="15" t="str">
        <f>IF(C167&lt;&gt;"OK","",IF(B167="INITIAL",EDATE(I167,Assumptions!$B$12)+Assumptions!$B$11,IF(B167="RECON",H167,"")))</f>
        <v/>
      </c>
      <c r="K167" s="15" t="str">
        <f>IF(C167&lt;&gt;"OK","",IF(B167="HEARING",'Case inputs'!D167,EDATE(J167,Assumptions!$B$13)))</f>
        <v/>
      </c>
      <c r="L167" s="15" t="str">
        <f>IF(C167&lt;&gt;"OK","",IF(G167="SCHEDULED",H167,EDATE(IF(B167="HEARING",H167,EDATE(K167,INT(D167))+ROUND(MOD(D167,1)*30.44,0)),Assumptions!$B$18)))</f>
        <v/>
      </c>
      <c r="M167" s="15" t="str">
        <f>IF(C167&lt;&gt;"OK","",EDATE(L167,Assumptions!$B$15))</f>
        <v/>
      </c>
      <c r="N167" s="17" t="str">
        <f>IF(C167&lt;&gt;"OK","",IF(B167="INITIAL",Assumptions!$B$21,0))</f>
        <v/>
      </c>
      <c r="O167" s="17" t="str">
        <f>IF(C167&lt;&gt;"OK","",IF(B167="INITIAL",(1-Assumptions!$B$21)*Assumptions!$B$24*Assumptions!$B$22,IF(B167="RECON",Assumptions!$B$22,0)))</f>
        <v/>
      </c>
      <c r="P167" s="17" t="str">
        <f>IF(C167&lt;&gt;"OK","",IF(B167="INITIAL",(1-Assumptions!$B$21)*Assumptions!$B$24*(1-Assumptions!$B$22)*Assumptions!$B$25,IF(B167="RECON",(1-Assumptions!$B$22)*Assumptions!$B$25,1)))</f>
        <v/>
      </c>
      <c r="Q167" s="17" t="str">
        <f>IF(C167&lt;&gt;"OK","",IF(B167="INITIAL",(1-Assumptions!$B$21)*(1-Assumptions!$B$24),0))</f>
        <v/>
      </c>
      <c r="R167" s="17" t="str">
        <f>IF(C167&lt;&gt;"OK","",IF(B167="INITIAL",(1-Assumptions!$B$21)*Assumptions!$B$24*(1-Assumptions!$B$22)*(1-Assumptions!$B$25),IF(B167="RECON",(1-Assumptions!$B$22)*(1-Assumptions!$B$25),0)))</f>
        <v/>
      </c>
      <c r="S167" s="17" t="str">
        <f>IF(C167&lt;&gt;"OK","",P167*Assumptions!$B$23)</f>
        <v/>
      </c>
      <c r="T167" s="17" t="str">
        <f>IF(C167&lt;&gt;"OK","",P167*(1-Assumptions!$B$23))</f>
        <v/>
      </c>
      <c r="U167" s="18" t="str">
        <f t="shared" si="11"/>
        <v/>
      </c>
      <c r="V167" s="15" t="str">
        <f>IF(C167&lt;&gt;"OK","",IF(B167="INITIAL",EDATE(I167,Assumptions!$B$14),""))</f>
        <v/>
      </c>
      <c r="W167" s="15" t="str">
        <f>IF(C167&lt;&gt;"OK","",IF(B167="HEARING","",EDATE(J167,Assumptions!$B$14)))</f>
        <v/>
      </c>
      <c r="X167" s="15" t="str">
        <f>IF(C167&lt;&gt;"OK","",EDATE(M167,Assumptions!$B$16))</f>
        <v/>
      </c>
    </row>
    <row r="168" spans="1:24" ht="22" customHeight="1">
      <c r="A168" s="11" t="str">
        <f>IF('Case inputs'!A168="","",'Case inputs'!A168)</f>
        <v/>
      </c>
      <c r="B168" s="11" t="str">
        <f>IF(A168="","",'Case inputs'!C168)</f>
        <v/>
      </c>
      <c r="C168" s="11" t="str">
        <f>IF('Case inputs'!I168="","",IF(Assumptions!$B$38&lt;&gt;"OK","ASSUMPTIONS INVALID",'Case inputs'!I168))</f>
        <v/>
      </c>
      <c r="D168" s="11" t="str">
        <f>IF(C168&lt;&gt;"OK","",VLOOKUP('Case inputs'!E168,Benchmarks!$A$6:$C$164,3,FALSE))</f>
        <v/>
      </c>
      <c r="E168" s="11" t="str">
        <f>IF(C168&lt;&gt;"OK","",Assumptions!$B$5-'Case inputs'!D168)</f>
        <v/>
      </c>
      <c r="F168" s="15" t="str">
        <f>IF(C168&lt;&gt;"OK","",IF(B168="INITIAL",'Case inputs'!D168+Assumptions!$B$10,IF(B168="RECON",'Case inputs'!D168+Assumptions!$B$11,EDATE('Case inputs'!D168,INT(D168))+ROUND(MOD(D168,1)*30.44,0))))</f>
        <v/>
      </c>
      <c r="G168" s="11" t="str">
        <f>IF(C168&lt;&gt;"OK","",IF(AND(B168="HEARING",'Case inputs'!F168&lt;&gt;"",'Case inputs'!F168&gt;=Assumptions!$B$5),"SCHEDULED",IF('Case inputs'!G168&lt;&gt;"","REVIEWED OVERRIDE",IF(F168&lt;Assumptions!$B$5,"OVERDUE: FUTURE WINDOW","BENCHMARK SCENARIO"))))</f>
        <v/>
      </c>
      <c r="H168" s="15" t="str">
        <f>IF(C168&lt;&gt;"OK","",IF(G168="SCHEDULED",'Case inputs'!F168,IF('Case inputs'!G168&lt;&gt;"",'Case inputs'!G168,IF(F168&lt;Assumptions!$B$5,EDATE(Assumptions!$B$5,Assumptions!$B$17),F168))))</f>
        <v/>
      </c>
      <c r="I168" s="16" t="str">
        <f t="shared" si="10"/>
        <v/>
      </c>
      <c r="J168" s="15" t="str">
        <f>IF(C168&lt;&gt;"OK","",IF(B168="INITIAL",EDATE(I168,Assumptions!$B$12)+Assumptions!$B$11,IF(B168="RECON",H168,"")))</f>
        <v/>
      </c>
      <c r="K168" s="15" t="str">
        <f>IF(C168&lt;&gt;"OK","",IF(B168="HEARING",'Case inputs'!D168,EDATE(J168,Assumptions!$B$13)))</f>
        <v/>
      </c>
      <c r="L168" s="15" t="str">
        <f>IF(C168&lt;&gt;"OK","",IF(G168="SCHEDULED",H168,EDATE(IF(B168="HEARING",H168,EDATE(K168,INT(D168))+ROUND(MOD(D168,1)*30.44,0)),Assumptions!$B$18)))</f>
        <v/>
      </c>
      <c r="M168" s="15" t="str">
        <f>IF(C168&lt;&gt;"OK","",EDATE(L168,Assumptions!$B$15))</f>
        <v/>
      </c>
      <c r="N168" s="17" t="str">
        <f>IF(C168&lt;&gt;"OK","",IF(B168="INITIAL",Assumptions!$B$21,0))</f>
        <v/>
      </c>
      <c r="O168" s="17" t="str">
        <f>IF(C168&lt;&gt;"OK","",IF(B168="INITIAL",(1-Assumptions!$B$21)*Assumptions!$B$24*Assumptions!$B$22,IF(B168="RECON",Assumptions!$B$22,0)))</f>
        <v/>
      </c>
      <c r="P168" s="17" t="str">
        <f>IF(C168&lt;&gt;"OK","",IF(B168="INITIAL",(1-Assumptions!$B$21)*Assumptions!$B$24*(1-Assumptions!$B$22)*Assumptions!$B$25,IF(B168="RECON",(1-Assumptions!$B$22)*Assumptions!$B$25,1)))</f>
        <v/>
      </c>
      <c r="Q168" s="17" t="str">
        <f>IF(C168&lt;&gt;"OK","",IF(B168="INITIAL",(1-Assumptions!$B$21)*(1-Assumptions!$B$24),0))</f>
        <v/>
      </c>
      <c r="R168" s="17" t="str">
        <f>IF(C168&lt;&gt;"OK","",IF(B168="INITIAL",(1-Assumptions!$B$21)*Assumptions!$B$24*(1-Assumptions!$B$22)*(1-Assumptions!$B$25),IF(B168="RECON",(1-Assumptions!$B$22)*(1-Assumptions!$B$25),0)))</f>
        <v/>
      </c>
      <c r="S168" s="17" t="str">
        <f>IF(C168&lt;&gt;"OK","",P168*Assumptions!$B$23)</f>
        <v/>
      </c>
      <c r="T168" s="17" t="str">
        <f>IF(C168&lt;&gt;"OK","",P168*(1-Assumptions!$B$23))</f>
        <v/>
      </c>
      <c r="U168" s="18" t="str">
        <f t="shared" si="11"/>
        <v/>
      </c>
      <c r="V168" s="15" t="str">
        <f>IF(C168&lt;&gt;"OK","",IF(B168="INITIAL",EDATE(I168,Assumptions!$B$14),""))</f>
        <v/>
      </c>
      <c r="W168" s="15" t="str">
        <f>IF(C168&lt;&gt;"OK","",IF(B168="HEARING","",EDATE(J168,Assumptions!$B$14)))</f>
        <v/>
      </c>
      <c r="X168" s="15" t="str">
        <f>IF(C168&lt;&gt;"OK","",EDATE(M168,Assumptions!$B$16))</f>
        <v/>
      </c>
    </row>
    <row r="169" spans="1:24" ht="22" customHeight="1">
      <c r="A169" s="11" t="str">
        <f>IF('Case inputs'!A169="","",'Case inputs'!A169)</f>
        <v/>
      </c>
      <c r="B169" s="11" t="str">
        <f>IF(A169="","",'Case inputs'!C169)</f>
        <v/>
      </c>
      <c r="C169" s="11" t="str">
        <f>IF('Case inputs'!I169="","",IF(Assumptions!$B$38&lt;&gt;"OK","ASSUMPTIONS INVALID",'Case inputs'!I169))</f>
        <v/>
      </c>
      <c r="D169" s="11" t="str">
        <f>IF(C169&lt;&gt;"OK","",VLOOKUP('Case inputs'!E169,Benchmarks!$A$6:$C$164,3,FALSE))</f>
        <v/>
      </c>
      <c r="E169" s="11" t="str">
        <f>IF(C169&lt;&gt;"OK","",Assumptions!$B$5-'Case inputs'!D169)</f>
        <v/>
      </c>
      <c r="F169" s="15" t="str">
        <f>IF(C169&lt;&gt;"OK","",IF(B169="INITIAL",'Case inputs'!D169+Assumptions!$B$10,IF(B169="RECON",'Case inputs'!D169+Assumptions!$B$11,EDATE('Case inputs'!D169,INT(D169))+ROUND(MOD(D169,1)*30.44,0))))</f>
        <v/>
      </c>
      <c r="G169" s="11" t="str">
        <f>IF(C169&lt;&gt;"OK","",IF(AND(B169="HEARING",'Case inputs'!F169&lt;&gt;"",'Case inputs'!F169&gt;=Assumptions!$B$5),"SCHEDULED",IF('Case inputs'!G169&lt;&gt;"","REVIEWED OVERRIDE",IF(F169&lt;Assumptions!$B$5,"OVERDUE: FUTURE WINDOW","BENCHMARK SCENARIO"))))</f>
        <v/>
      </c>
      <c r="H169" s="15" t="str">
        <f>IF(C169&lt;&gt;"OK","",IF(G169="SCHEDULED",'Case inputs'!F169,IF('Case inputs'!G169&lt;&gt;"",'Case inputs'!G169,IF(F169&lt;Assumptions!$B$5,EDATE(Assumptions!$B$5,Assumptions!$B$17),F169))))</f>
        <v/>
      </c>
      <c r="I169" s="16" t="str">
        <f t="shared" si="10"/>
        <v/>
      </c>
      <c r="J169" s="15" t="str">
        <f>IF(C169&lt;&gt;"OK","",IF(B169="INITIAL",EDATE(I169,Assumptions!$B$12)+Assumptions!$B$11,IF(B169="RECON",H169,"")))</f>
        <v/>
      </c>
      <c r="K169" s="15" t="str">
        <f>IF(C169&lt;&gt;"OK","",IF(B169="HEARING",'Case inputs'!D169,EDATE(J169,Assumptions!$B$13)))</f>
        <v/>
      </c>
      <c r="L169" s="15" t="str">
        <f>IF(C169&lt;&gt;"OK","",IF(G169="SCHEDULED",H169,EDATE(IF(B169="HEARING",H169,EDATE(K169,INT(D169))+ROUND(MOD(D169,1)*30.44,0)),Assumptions!$B$18)))</f>
        <v/>
      </c>
      <c r="M169" s="15" t="str">
        <f>IF(C169&lt;&gt;"OK","",EDATE(L169,Assumptions!$B$15))</f>
        <v/>
      </c>
      <c r="N169" s="17" t="str">
        <f>IF(C169&lt;&gt;"OK","",IF(B169="INITIAL",Assumptions!$B$21,0))</f>
        <v/>
      </c>
      <c r="O169" s="17" t="str">
        <f>IF(C169&lt;&gt;"OK","",IF(B169="INITIAL",(1-Assumptions!$B$21)*Assumptions!$B$24*Assumptions!$B$22,IF(B169="RECON",Assumptions!$B$22,0)))</f>
        <v/>
      </c>
      <c r="P169" s="17" t="str">
        <f>IF(C169&lt;&gt;"OK","",IF(B169="INITIAL",(1-Assumptions!$B$21)*Assumptions!$B$24*(1-Assumptions!$B$22)*Assumptions!$B$25,IF(B169="RECON",(1-Assumptions!$B$22)*Assumptions!$B$25,1)))</f>
        <v/>
      </c>
      <c r="Q169" s="17" t="str">
        <f>IF(C169&lt;&gt;"OK","",IF(B169="INITIAL",(1-Assumptions!$B$21)*(1-Assumptions!$B$24),0))</f>
        <v/>
      </c>
      <c r="R169" s="17" t="str">
        <f>IF(C169&lt;&gt;"OK","",IF(B169="INITIAL",(1-Assumptions!$B$21)*Assumptions!$B$24*(1-Assumptions!$B$22)*(1-Assumptions!$B$25),IF(B169="RECON",(1-Assumptions!$B$22)*(1-Assumptions!$B$25),0)))</f>
        <v/>
      </c>
      <c r="S169" s="17" t="str">
        <f>IF(C169&lt;&gt;"OK","",P169*Assumptions!$B$23)</f>
        <v/>
      </c>
      <c r="T169" s="17" t="str">
        <f>IF(C169&lt;&gt;"OK","",P169*(1-Assumptions!$B$23))</f>
        <v/>
      </c>
      <c r="U169" s="18" t="str">
        <f t="shared" si="11"/>
        <v/>
      </c>
      <c r="V169" s="15" t="str">
        <f>IF(C169&lt;&gt;"OK","",IF(B169="INITIAL",EDATE(I169,Assumptions!$B$14),""))</f>
        <v/>
      </c>
      <c r="W169" s="15" t="str">
        <f>IF(C169&lt;&gt;"OK","",IF(B169="HEARING","",EDATE(J169,Assumptions!$B$14)))</f>
        <v/>
      </c>
      <c r="X169" s="15" t="str">
        <f>IF(C169&lt;&gt;"OK","",EDATE(M169,Assumptions!$B$16))</f>
        <v/>
      </c>
    </row>
    <row r="170" spans="1:24" ht="22" customHeight="1">
      <c r="A170" s="11" t="str">
        <f>IF('Case inputs'!A170="","",'Case inputs'!A170)</f>
        <v/>
      </c>
      <c r="B170" s="11" t="str">
        <f>IF(A170="","",'Case inputs'!C170)</f>
        <v/>
      </c>
      <c r="C170" s="11" t="str">
        <f>IF('Case inputs'!I170="","",IF(Assumptions!$B$38&lt;&gt;"OK","ASSUMPTIONS INVALID",'Case inputs'!I170))</f>
        <v/>
      </c>
      <c r="D170" s="11" t="str">
        <f>IF(C170&lt;&gt;"OK","",VLOOKUP('Case inputs'!E170,Benchmarks!$A$6:$C$164,3,FALSE))</f>
        <v/>
      </c>
      <c r="E170" s="11" t="str">
        <f>IF(C170&lt;&gt;"OK","",Assumptions!$B$5-'Case inputs'!D170)</f>
        <v/>
      </c>
      <c r="F170" s="15" t="str">
        <f>IF(C170&lt;&gt;"OK","",IF(B170="INITIAL",'Case inputs'!D170+Assumptions!$B$10,IF(B170="RECON",'Case inputs'!D170+Assumptions!$B$11,EDATE('Case inputs'!D170,INT(D170))+ROUND(MOD(D170,1)*30.44,0))))</f>
        <v/>
      </c>
      <c r="G170" s="11" t="str">
        <f>IF(C170&lt;&gt;"OK","",IF(AND(B170="HEARING",'Case inputs'!F170&lt;&gt;"",'Case inputs'!F170&gt;=Assumptions!$B$5),"SCHEDULED",IF('Case inputs'!G170&lt;&gt;"","REVIEWED OVERRIDE",IF(F170&lt;Assumptions!$B$5,"OVERDUE: FUTURE WINDOW","BENCHMARK SCENARIO"))))</f>
        <v/>
      </c>
      <c r="H170" s="15" t="str">
        <f>IF(C170&lt;&gt;"OK","",IF(G170="SCHEDULED",'Case inputs'!F170,IF('Case inputs'!G170&lt;&gt;"",'Case inputs'!G170,IF(F170&lt;Assumptions!$B$5,EDATE(Assumptions!$B$5,Assumptions!$B$17),F170))))</f>
        <v/>
      </c>
      <c r="I170" s="16" t="str">
        <f t="shared" si="10"/>
        <v/>
      </c>
      <c r="J170" s="15" t="str">
        <f>IF(C170&lt;&gt;"OK","",IF(B170="INITIAL",EDATE(I170,Assumptions!$B$12)+Assumptions!$B$11,IF(B170="RECON",H170,"")))</f>
        <v/>
      </c>
      <c r="K170" s="15" t="str">
        <f>IF(C170&lt;&gt;"OK","",IF(B170="HEARING",'Case inputs'!D170,EDATE(J170,Assumptions!$B$13)))</f>
        <v/>
      </c>
      <c r="L170" s="15" t="str">
        <f>IF(C170&lt;&gt;"OK","",IF(G170="SCHEDULED",H170,EDATE(IF(B170="HEARING",H170,EDATE(K170,INT(D170))+ROUND(MOD(D170,1)*30.44,0)),Assumptions!$B$18)))</f>
        <v/>
      </c>
      <c r="M170" s="15" t="str">
        <f>IF(C170&lt;&gt;"OK","",EDATE(L170,Assumptions!$B$15))</f>
        <v/>
      </c>
      <c r="N170" s="17" t="str">
        <f>IF(C170&lt;&gt;"OK","",IF(B170="INITIAL",Assumptions!$B$21,0))</f>
        <v/>
      </c>
      <c r="O170" s="17" t="str">
        <f>IF(C170&lt;&gt;"OK","",IF(B170="INITIAL",(1-Assumptions!$B$21)*Assumptions!$B$24*Assumptions!$B$22,IF(B170="RECON",Assumptions!$B$22,0)))</f>
        <v/>
      </c>
      <c r="P170" s="17" t="str">
        <f>IF(C170&lt;&gt;"OK","",IF(B170="INITIAL",(1-Assumptions!$B$21)*Assumptions!$B$24*(1-Assumptions!$B$22)*Assumptions!$B$25,IF(B170="RECON",(1-Assumptions!$B$22)*Assumptions!$B$25,1)))</f>
        <v/>
      </c>
      <c r="Q170" s="17" t="str">
        <f>IF(C170&lt;&gt;"OK","",IF(B170="INITIAL",(1-Assumptions!$B$21)*(1-Assumptions!$B$24),0))</f>
        <v/>
      </c>
      <c r="R170" s="17" t="str">
        <f>IF(C170&lt;&gt;"OK","",IF(B170="INITIAL",(1-Assumptions!$B$21)*Assumptions!$B$24*(1-Assumptions!$B$22)*(1-Assumptions!$B$25),IF(B170="RECON",(1-Assumptions!$B$22)*(1-Assumptions!$B$25),0)))</f>
        <v/>
      </c>
      <c r="S170" s="17" t="str">
        <f>IF(C170&lt;&gt;"OK","",P170*Assumptions!$B$23)</f>
        <v/>
      </c>
      <c r="T170" s="17" t="str">
        <f>IF(C170&lt;&gt;"OK","",P170*(1-Assumptions!$B$23))</f>
        <v/>
      </c>
      <c r="U170" s="18" t="str">
        <f t="shared" si="11"/>
        <v/>
      </c>
      <c r="V170" s="15" t="str">
        <f>IF(C170&lt;&gt;"OK","",IF(B170="INITIAL",EDATE(I170,Assumptions!$B$14),""))</f>
        <v/>
      </c>
      <c r="W170" s="15" t="str">
        <f>IF(C170&lt;&gt;"OK","",IF(B170="HEARING","",EDATE(J170,Assumptions!$B$14)))</f>
        <v/>
      </c>
      <c r="X170" s="15" t="str">
        <f>IF(C170&lt;&gt;"OK","",EDATE(M170,Assumptions!$B$16))</f>
        <v/>
      </c>
    </row>
    <row r="171" spans="1:24" ht="22" customHeight="1">
      <c r="A171" s="11" t="str">
        <f>IF('Case inputs'!A171="","",'Case inputs'!A171)</f>
        <v/>
      </c>
      <c r="B171" s="11" t="str">
        <f>IF(A171="","",'Case inputs'!C171)</f>
        <v/>
      </c>
      <c r="C171" s="11" t="str">
        <f>IF('Case inputs'!I171="","",IF(Assumptions!$B$38&lt;&gt;"OK","ASSUMPTIONS INVALID",'Case inputs'!I171))</f>
        <v/>
      </c>
      <c r="D171" s="11" t="str">
        <f>IF(C171&lt;&gt;"OK","",VLOOKUP('Case inputs'!E171,Benchmarks!$A$6:$C$164,3,FALSE))</f>
        <v/>
      </c>
      <c r="E171" s="11" t="str">
        <f>IF(C171&lt;&gt;"OK","",Assumptions!$B$5-'Case inputs'!D171)</f>
        <v/>
      </c>
      <c r="F171" s="15" t="str">
        <f>IF(C171&lt;&gt;"OK","",IF(B171="INITIAL",'Case inputs'!D171+Assumptions!$B$10,IF(B171="RECON",'Case inputs'!D171+Assumptions!$B$11,EDATE('Case inputs'!D171,INT(D171))+ROUND(MOD(D171,1)*30.44,0))))</f>
        <v/>
      </c>
      <c r="G171" s="11" t="str">
        <f>IF(C171&lt;&gt;"OK","",IF(AND(B171="HEARING",'Case inputs'!F171&lt;&gt;"",'Case inputs'!F171&gt;=Assumptions!$B$5),"SCHEDULED",IF('Case inputs'!G171&lt;&gt;"","REVIEWED OVERRIDE",IF(F171&lt;Assumptions!$B$5,"OVERDUE: FUTURE WINDOW","BENCHMARK SCENARIO"))))</f>
        <v/>
      </c>
      <c r="H171" s="15" t="str">
        <f>IF(C171&lt;&gt;"OK","",IF(G171="SCHEDULED",'Case inputs'!F171,IF('Case inputs'!G171&lt;&gt;"",'Case inputs'!G171,IF(F171&lt;Assumptions!$B$5,EDATE(Assumptions!$B$5,Assumptions!$B$17),F171))))</f>
        <v/>
      </c>
      <c r="I171" s="16" t="str">
        <f t="shared" si="10"/>
        <v/>
      </c>
      <c r="J171" s="15" t="str">
        <f>IF(C171&lt;&gt;"OK","",IF(B171="INITIAL",EDATE(I171,Assumptions!$B$12)+Assumptions!$B$11,IF(B171="RECON",H171,"")))</f>
        <v/>
      </c>
      <c r="K171" s="15" t="str">
        <f>IF(C171&lt;&gt;"OK","",IF(B171="HEARING",'Case inputs'!D171,EDATE(J171,Assumptions!$B$13)))</f>
        <v/>
      </c>
      <c r="L171" s="15" t="str">
        <f>IF(C171&lt;&gt;"OK","",IF(G171="SCHEDULED",H171,EDATE(IF(B171="HEARING",H171,EDATE(K171,INT(D171))+ROUND(MOD(D171,1)*30.44,0)),Assumptions!$B$18)))</f>
        <v/>
      </c>
      <c r="M171" s="15" t="str">
        <f>IF(C171&lt;&gt;"OK","",EDATE(L171,Assumptions!$B$15))</f>
        <v/>
      </c>
      <c r="N171" s="17" t="str">
        <f>IF(C171&lt;&gt;"OK","",IF(B171="INITIAL",Assumptions!$B$21,0))</f>
        <v/>
      </c>
      <c r="O171" s="17" t="str">
        <f>IF(C171&lt;&gt;"OK","",IF(B171="INITIAL",(1-Assumptions!$B$21)*Assumptions!$B$24*Assumptions!$B$22,IF(B171="RECON",Assumptions!$B$22,0)))</f>
        <v/>
      </c>
      <c r="P171" s="17" t="str">
        <f>IF(C171&lt;&gt;"OK","",IF(B171="INITIAL",(1-Assumptions!$B$21)*Assumptions!$B$24*(1-Assumptions!$B$22)*Assumptions!$B$25,IF(B171="RECON",(1-Assumptions!$B$22)*Assumptions!$B$25,1)))</f>
        <v/>
      </c>
      <c r="Q171" s="17" t="str">
        <f>IF(C171&lt;&gt;"OK","",IF(B171="INITIAL",(1-Assumptions!$B$21)*(1-Assumptions!$B$24),0))</f>
        <v/>
      </c>
      <c r="R171" s="17" t="str">
        <f>IF(C171&lt;&gt;"OK","",IF(B171="INITIAL",(1-Assumptions!$B$21)*Assumptions!$B$24*(1-Assumptions!$B$22)*(1-Assumptions!$B$25),IF(B171="RECON",(1-Assumptions!$B$22)*(1-Assumptions!$B$25),0)))</f>
        <v/>
      </c>
      <c r="S171" s="17" t="str">
        <f>IF(C171&lt;&gt;"OK","",P171*Assumptions!$B$23)</f>
        <v/>
      </c>
      <c r="T171" s="17" t="str">
        <f>IF(C171&lt;&gt;"OK","",P171*(1-Assumptions!$B$23))</f>
        <v/>
      </c>
      <c r="U171" s="18" t="str">
        <f t="shared" si="11"/>
        <v/>
      </c>
      <c r="V171" s="15" t="str">
        <f>IF(C171&lt;&gt;"OK","",IF(B171="INITIAL",EDATE(I171,Assumptions!$B$14),""))</f>
        <v/>
      </c>
      <c r="W171" s="15" t="str">
        <f>IF(C171&lt;&gt;"OK","",IF(B171="HEARING","",EDATE(J171,Assumptions!$B$14)))</f>
        <v/>
      </c>
      <c r="X171" s="15" t="str">
        <f>IF(C171&lt;&gt;"OK","",EDATE(M171,Assumptions!$B$16))</f>
        <v/>
      </c>
    </row>
    <row r="172" spans="1:24" ht="22" customHeight="1">
      <c r="A172" s="11" t="str">
        <f>IF('Case inputs'!A172="","",'Case inputs'!A172)</f>
        <v/>
      </c>
      <c r="B172" s="11" t="str">
        <f>IF(A172="","",'Case inputs'!C172)</f>
        <v/>
      </c>
      <c r="C172" s="11" t="str">
        <f>IF('Case inputs'!I172="","",IF(Assumptions!$B$38&lt;&gt;"OK","ASSUMPTIONS INVALID",'Case inputs'!I172))</f>
        <v/>
      </c>
      <c r="D172" s="11" t="str">
        <f>IF(C172&lt;&gt;"OK","",VLOOKUP('Case inputs'!E172,Benchmarks!$A$6:$C$164,3,FALSE))</f>
        <v/>
      </c>
      <c r="E172" s="11" t="str">
        <f>IF(C172&lt;&gt;"OK","",Assumptions!$B$5-'Case inputs'!D172)</f>
        <v/>
      </c>
      <c r="F172" s="15" t="str">
        <f>IF(C172&lt;&gt;"OK","",IF(B172="INITIAL",'Case inputs'!D172+Assumptions!$B$10,IF(B172="RECON",'Case inputs'!D172+Assumptions!$B$11,EDATE('Case inputs'!D172,INT(D172))+ROUND(MOD(D172,1)*30.44,0))))</f>
        <v/>
      </c>
      <c r="G172" s="11" t="str">
        <f>IF(C172&lt;&gt;"OK","",IF(AND(B172="HEARING",'Case inputs'!F172&lt;&gt;"",'Case inputs'!F172&gt;=Assumptions!$B$5),"SCHEDULED",IF('Case inputs'!G172&lt;&gt;"","REVIEWED OVERRIDE",IF(F172&lt;Assumptions!$B$5,"OVERDUE: FUTURE WINDOW","BENCHMARK SCENARIO"))))</f>
        <v/>
      </c>
      <c r="H172" s="15" t="str">
        <f>IF(C172&lt;&gt;"OK","",IF(G172="SCHEDULED",'Case inputs'!F172,IF('Case inputs'!G172&lt;&gt;"",'Case inputs'!G172,IF(F172&lt;Assumptions!$B$5,EDATE(Assumptions!$B$5,Assumptions!$B$17),F172))))</f>
        <v/>
      </c>
      <c r="I172" s="16" t="str">
        <f t="shared" si="10"/>
        <v/>
      </c>
      <c r="J172" s="15" t="str">
        <f>IF(C172&lt;&gt;"OK","",IF(B172="INITIAL",EDATE(I172,Assumptions!$B$12)+Assumptions!$B$11,IF(B172="RECON",H172,"")))</f>
        <v/>
      </c>
      <c r="K172" s="15" t="str">
        <f>IF(C172&lt;&gt;"OK","",IF(B172="HEARING",'Case inputs'!D172,EDATE(J172,Assumptions!$B$13)))</f>
        <v/>
      </c>
      <c r="L172" s="15" t="str">
        <f>IF(C172&lt;&gt;"OK","",IF(G172="SCHEDULED",H172,EDATE(IF(B172="HEARING",H172,EDATE(K172,INT(D172))+ROUND(MOD(D172,1)*30.44,0)),Assumptions!$B$18)))</f>
        <v/>
      </c>
      <c r="M172" s="15" t="str">
        <f>IF(C172&lt;&gt;"OK","",EDATE(L172,Assumptions!$B$15))</f>
        <v/>
      </c>
      <c r="N172" s="17" t="str">
        <f>IF(C172&lt;&gt;"OK","",IF(B172="INITIAL",Assumptions!$B$21,0))</f>
        <v/>
      </c>
      <c r="O172" s="17" t="str">
        <f>IF(C172&lt;&gt;"OK","",IF(B172="INITIAL",(1-Assumptions!$B$21)*Assumptions!$B$24*Assumptions!$B$22,IF(B172="RECON",Assumptions!$B$22,0)))</f>
        <v/>
      </c>
      <c r="P172" s="17" t="str">
        <f>IF(C172&lt;&gt;"OK","",IF(B172="INITIAL",(1-Assumptions!$B$21)*Assumptions!$B$24*(1-Assumptions!$B$22)*Assumptions!$B$25,IF(B172="RECON",(1-Assumptions!$B$22)*Assumptions!$B$25,1)))</f>
        <v/>
      </c>
      <c r="Q172" s="17" t="str">
        <f>IF(C172&lt;&gt;"OK","",IF(B172="INITIAL",(1-Assumptions!$B$21)*(1-Assumptions!$B$24),0))</f>
        <v/>
      </c>
      <c r="R172" s="17" t="str">
        <f>IF(C172&lt;&gt;"OK","",IF(B172="INITIAL",(1-Assumptions!$B$21)*Assumptions!$B$24*(1-Assumptions!$B$22)*(1-Assumptions!$B$25),IF(B172="RECON",(1-Assumptions!$B$22)*(1-Assumptions!$B$25),0)))</f>
        <v/>
      </c>
      <c r="S172" s="17" t="str">
        <f>IF(C172&lt;&gt;"OK","",P172*Assumptions!$B$23)</f>
        <v/>
      </c>
      <c r="T172" s="17" t="str">
        <f>IF(C172&lt;&gt;"OK","",P172*(1-Assumptions!$B$23))</f>
        <v/>
      </c>
      <c r="U172" s="18" t="str">
        <f t="shared" si="11"/>
        <v/>
      </c>
      <c r="V172" s="15" t="str">
        <f>IF(C172&lt;&gt;"OK","",IF(B172="INITIAL",EDATE(I172,Assumptions!$B$14),""))</f>
        <v/>
      </c>
      <c r="W172" s="15" t="str">
        <f>IF(C172&lt;&gt;"OK","",IF(B172="HEARING","",EDATE(J172,Assumptions!$B$14)))</f>
        <v/>
      </c>
      <c r="X172" s="15" t="str">
        <f>IF(C172&lt;&gt;"OK","",EDATE(M172,Assumptions!$B$16))</f>
        <v/>
      </c>
    </row>
    <row r="173" spans="1:24" ht="22" customHeight="1">
      <c r="A173" s="11" t="str">
        <f>IF('Case inputs'!A173="","",'Case inputs'!A173)</f>
        <v/>
      </c>
      <c r="B173" s="11" t="str">
        <f>IF(A173="","",'Case inputs'!C173)</f>
        <v/>
      </c>
      <c r="C173" s="11" t="str">
        <f>IF('Case inputs'!I173="","",IF(Assumptions!$B$38&lt;&gt;"OK","ASSUMPTIONS INVALID",'Case inputs'!I173))</f>
        <v/>
      </c>
      <c r="D173" s="11" t="str">
        <f>IF(C173&lt;&gt;"OK","",VLOOKUP('Case inputs'!E173,Benchmarks!$A$6:$C$164,3,FALSE))</f>
        <v/>
      </c>
      <c r="E173" s="11" t="str">
        <f>IF(C173&lt;&gt;"OK","",Assumptions!$B$5-'Case inputs'!D173)</f>
        <v/>
      </c>
      <c r="F173" s="15" t="str">
        <f>IF(C173&lt;&gt;"OK","",IF(B173="INITIAL",'Case inputs'!D173+Assumptions!$B$10,IF(B173="RECON",'Case inputs'!D173+Assumptions!$B$11,EDATE('Case inputs'!D173,INT(D173))+ROUND(MOD(D173,1)*30.44,0))))</f>
        <v/>
      </c>
      <c r="G173" s="11" t="str">
        <f>IF(C173&lt;&gt;"OK","",IF(AND(B173="HEARING",'Case inputs'!F173&lt;&gt;"",'Case inputs'!F173&gt;=Assumptions!$B$5),"SCHEDULED",IF('Case inputs'!G173&lt;&gt;"","REVIEWED OVERRIDE",IF(F173&lt;Assumptions!$B$5,"OVERDUE: FUTURE WINDOW","BENCHMARK SCENARIO"))))</f>
        <v/>
      </c>
      <c r="H173" s="15" t="str">
        <f>IF(C173&lt;&gt;"OK","",IF(G173="SCHEDULED",'Case inputs'!F173,IF('Case inputs'!G173&lt;&gt;"",'Case inputs'!G173,IF(F173&lt;Assumptions!$B$5,EDATE(Assumptions!$B$5,Assumptions!$B$17),F173))))</f>
        <v/>
      </c>
      <c r="I173" s="16" t="str">
        <f t="shared" si="10"/>
        <v/>
      </c>
      <c r="J173" s="15" t="str">
        <f>IF(C173&lt;&gt;"OK","",IF(B173="INITIAL",EDATE(I173,Assumptions!$B$12)+Assumptions!$B$11,IF(B173="RECON",H173,"")))</f>
        <v/>
      </c>
      <c r="K173" s="15" t="str">
        <f>IF(C173&lt;&gt;"OK","",IF(B173="HEARING",'Case inputs'!D173,EDATE(J173,Assumptions!$B$13)))</f>
        <v/>
      </c>
      <c r="L173" s="15" t="str">
        <f>IF(C173&lt;&gt;"OK","",IF(G173="SCHEDULED",H173,EDATE(IF(B173="HEARING",H173,EDATE(K173,INT(D173))+ROUND(MOD(D173,1)*30.44,0)),Assumptions!$B$18)))</f>
        <v/>
      </c>
      <c r="M173" s="15" t="str">
        <f>IF(C173&lt;&gt;"OK","",EDATE(L173,Assumptions!$B$15))</f>
        <v/>
      </c>
      <c r="N173" s="17" t="str">
        <f>IF(C173&lt;&gt;"OK","",IF(B173="INITIAL",Assumptions!$B$21,0))</f>
        <v/>
      </c>
      <c r="O173" s="17" t="str">
        <f>IF(C173&lt;&gt;"OK","",IF(B173="INITIAL",(1-Assumptions!$B$21)*Assumptions!$B$24*Assumptions!$B$22,IF(B173="RECON",Assumptions!$B$22,0)))</f>
        <v/>
      </c>
      <c r="P173" s="17" t="str">
        <f>IF(C173&lt;&gt;"OK","",IF(B173="INITIAL",(1-Assumptions!$B$21)*Assumptions!$B$24*(1-Assumptions!$B$22)*Assumptions!$B$25,IF(B173="RECON",(1-Assumptions!$B$22)*Assumptions!$B$25,1)))</f>
        <v/>
      </c>
      <c r="Q173" s="17" t="str">
        <f>IF(C173&lt;&gt;"OK","",IF(B173="INITIAL",(1-Assumptions!$B$21)*(1-Assumptions!$B$24),0))</f>
        <v/>
      </c>
      <c r="R173" s="17" t="str">
        <f>IF(C173&lt;&gt;"OK","",IF(B173="INITIAL",(1-Assumptions!$B$21)*Assumptions!$B$24*(1-Assumptions!$B$22)*(1-Assumptions!$B$25),IF(B173="RECON",(1-Assumptions!$B$22)*(1-Assumptions!$B$25),0)))</f>
        <v/>
      </c>
      <c r="S173" s="17" t="str">
        <f>IF(C173&lt;&gt;"OK","",P173*Assumptions!$B$23)</f>
        <v/>
      </c>
      <c r="T173" s="17" t="str">
        <f>IF(C173&lt;&gt;"OK","",P173*(1-Assumptions!$B$23))</f>
        <v/>
      </c>
      <c r="U173" s="18" t="str">
        <f t="shared" si="11"/>
        <v/>
      </c>
      <c r="V173" s="15" t="str">
        <f>IF(C173&lt;&gt;"OK","",IF(B173="INITIAL",EDATE(I173,Assumptions!$B$14),""))</f>
        <v/>
      </c>
      <c r="W173" s="15" t="str">
        <f>IF(C173&lt;&gt;"OK","",IF(B173="HEARING","",EDATE(J173,Assumptions!$B$14)))</f>
        <v/>
      </c>
      <c r="X173" s="15" t="str">
        <f>IF(C173&lt;&gt;"OK","",EDATE(M173,Assumptions!$B$16))</f>
        <v/>
      </c>
    </row>
    <row r="174" spans="1:24" ht="22" customHeight="1">
      <c r="A174" s="11" t="str">
        <f>IF('Case inputs'!A174="","",'Case inputs'!A174)</f>
        <v/>
      </c>
      <c r="B174" s="11" t="str">
        <f>IF(A174="","",'Case inputs'!C174)</f>
        <v/>
      </c>
      <c r="C174" s="11" t="str">
        <f>IF('Case inputs'!I174="","",IF(Assumptions!$B$38&lt;&gt;"OK","ASSUMPTIONS INVALID",'Case inputs'!I174))</f>
        <v/>
      </c>
      <c r="D174" s="11" t="str">
        <f>IF(C174&lt;&gt;"OK","",VLOOKUP('Case inputs'!E174,Benchmarks!$A$6:$C$164,3,FALSE))</f>
        <v/>
      </c>
      <c r="E174" s="11" t="str">
        <f>IF(C174&lt;&gt;"OK","",Assumptions!$B$5-'Case inputs'!D174)</f>
        <v/>
      </c>
      <c r="F174" s="15" t="str">
        <f>IF(C174&lt;&gt;"OK","",IF(B174="INITIAL",'Case inputs'!D174+Assumptions!$B$10,IF(B174="RECON",'Case inputs'!D174+Assumptions!$B$11,EDATE('Case inputs'!D174,INT(D174))+ROUND(MOD(D174,1)*30.44,0))))</f>
        <v/>
      </c>
      <c r="G174" s="11" t="str">
        <f>IF(C174&lt;&gt;"OK","",IF(AND(B174="HEARING",'Case inputs'!F174&lt;&gt;"",'Case inputs'!F174&gt;=Assumptions!$B$5),"SCHEDULED",IF('Case inputs'!G174&lt;&gt;"","REVIEWED OVERRIDE",IF(F174&lt;Assumptions!$B$5,"OVERDUE: FUTURE WINDOW","BENCHMARK SCENARIO"))))</f>
        <v/>
      </c>
      <c r="H174" s="15" t="str">
        <f>IF(C174&lt;&gt;"OK","",IF(G174="SCHEDULED",'Case inputs'!F174,IF('Case inputs'!G174&lt;&gt;"",'Case inputs'!G174,IF(F174&lt;Assumptions!$B$5,EDATE(Assumptions!$B$5,Assumptions!$B$17),F174))))</f>
        <v/>
      </c>
      <c r="I174" s="16" t="str">
        <f t="shared" si="10"/>
        <v/>
      </c>
      <c r="J174" s="15" t="str">
        <f>IF(C174&lt;&gt;"OK","",IF(B174="INITIAL",EDATE(I174,Assumptions!$B$12)+Assumptions!$B$11,IF(B174="RECON",H174,"")))</f>
        <v/>
      </c>
      <c r="K174" s="15" t="str">
        <f>IF(C174&lt;&gt;"OK","",IF(B174="HEARING",'Case inputs'!D174,EDATE(J174,Assumptions!$B$13)))</f>
        <v/>
      </c>
      <c r="L174" s="15" t="str">
        <f>IF(C174&lt;&gt;"OK","",IF(G174="SCHEDULED",H174,EDATE(IF(B174="HEARING",H174,EDATE(K174,INT(D174))+ROUND(MOD(D174,1)*30.44,0)),Assumptions!$B$18)))</f>
        <v/>
      </c>
      <c r="M174" s="15" t="str">
        <f>IF(C174&lt;&gt;"OK","",EDATE(L174,Assumptions!$B$15))</f>
        <v/>
      </c>
      <c r="N174" s="17" t="str">
        <f>IF(C174&lt;&gt;"OK","",IF(B174="INITIAL",Assumptions!$B$21,0))</f>
        <v/>
      </c>
      <c r="O174" s="17" t="str">
        <f>IF(C174&lt;&gt;"OK","",IF(B174="INITIAL",(1-Assumptions!$B$21)*Assumptions!$B$24*Assumptions!$B$22,IF(B174="RECON",Assumptions!$B$22,0)))</f>
        <v/>
      </c>
      <c r="P174" s="17" t="str">
        <f>IF(C174&lt;&gt;"OK","",IF(B174="INITIAL",(1-Assumptions!$B$21)*Assumptions!$B$24*(1-Assumptions!$B$22)*Assumptions!$B$25,IF(B174="RECON",(1-Assumptions!$B$22)*Assumptions!$B$25,1)))</f>
        <v/>
      </c>
      <c r="Q174" s="17" t="str">
        <f>IF(C174&lt;&gt;"OK","",IF(B174="INITIAL",(1-Assumptions!$B$21)*(1-Assumptions!$B$24),0))</f>
        <v/>
      </c>
      <c r="R174" s="17" t="str">
        <f>IF(C174&lt;&gt;"OK","",IF(B174="INITIAL",(1-Assumptions!$B$21)*Assumptions!$B$24*(1-Assumptions!$B$22)*(1-Assumptions!$B$25),IF(B174="RECON",(1-Assumptions!$B$22)*(1-Assumptions!$B$25),0)))</f>
        <v/>
      </c>
      <c r="S174" s="17" t="str">
        <f>IF(C174&lt;&gt;"OK","",P174*Assumptions!$B$23)</f>
        <v/>
      </c>
      <c r="T174" s="17" t="str">
        <f>IF(C174&lt;&gt;"OK","",P174*(1-Assumptions!$B$23))</f>
        <v/>
      </c>
      <c r="U174" s="18" t="str">
        <f t="shared" si="11"/>
        <v/>
      </c>
      <c r="V174" s="15" t="str">
        <f>IF(C174&lt;&gt;"OK","",IF(B174="INITIAL",EDATE(I174,Assumptions!$B$14),""))</f>
        <v/>
      </c>
      <c r="W174" s="15" t="str">
        <f>IF(C174&lt;&gt;"OK","",IF(B174="HEARING","",EDATE(J174,Assumptions!$B$14)))</f>
        <v/>
      </c>
      <c r="X174" s="15" t="str">
        <f>IF(C174&lt;&gt;"OK","",EDATE(M174,Assumptions!$B$16))</f>
        <v/>
      </c>
    </row>
    <row r="175" spans="1:24" ht="22" customHeight="1">
      <c r="A175" s="11" t="str">
        <f>IF('Case inputs'!A175="","",'Case inputs'!A175)</f>
        <v/>
      </c>
      <c r="B175" s="11" t="str">
        <f>IF(A175="","",'Case inputs'!C175)</f>
        <v/>
      </c>
      <c r="C175" s="11" t="str">
        <f>IF('Case inputs'!I175="","",IF(Assumptions!$B$38&lt;&gt;"OK","ASSUMPTIONS INVALID",'Case inputs'!I175))</f>
        <v/>
      </c>
      <c r="D175" s="11" t="str">
        <f>IF(C175&lt;&gt;"OK","",VLOOKUP('Case inputs'!E175,Benchmarks!$A$6:$C$164,3,FALSE))</f>
        <v/>
      </c>
      <c r="E175" s="11" t="str">
        <f>IF(C175&lt;&gt;"OK","",Assumptions!$B$5-'Case inputs'!D175)</f>
        <v/>
      </c>
      <c r="F175" s="15" t="str">
        <f>IF(C175&lt;&gt;"OK","",IF(B175="INITIAL",'Case inputs'!D175+Assumptions!$B$10,IF(B175="RECON",'Case inputs'!D175+Assumptions!$B$11,EDATE('Case inputs'!D175,INT(D175))+ROUND(MOD(D175,1)*30.44,0))))</f>
        <v/>
      </c>
      <c r="G175" s="11" t="str">
        <f>IF(C175&lt;&gt;"OK","",IF(AND(B175="HEARING",'Case inputs'!F175&lt;&gt;"",'Case inputs'!F175&gt;=Assumptions!$B$5),"SCHEDULED",IF('Case inputs'!G175&lt;&gt;"","REVIEWED OVERRIDE",IF(F175&lt;Assumptions!$B$5,"OVERDUE: FUTURE WINDOW","BENCHMARK SCENARIO"))))</f>
        <v/>
      </c>
      <c r="H175" s="15" t="str">
        <f>IF(C175&lt;&gt;"OK","",IF(G175="SCHEDULED",'Case inputs'!F175,IF('Case inputs'!G175&lt;&gt;"",'Case inputs'!G175,IF(F175&lt;Assumptions!$B$5,EDATE(Assumptions!$B$5,Assumptions!$B$17),F175))))</f>
        <v/>
      </c>
      <c r="I175" s="16" t="str">
        <f t="shared" si="10"/>
        <v/>
      </c>
      <c r="J175" s="15" t="str">
        <f>IF(C175&lt;&gt;"OK","",IF(B175="INITIAL",EDATE(I175,Assumptions!$B$12)+Assumptions!$B$11,IF(B175="RECON",H175,"")))</f>
        <v/>
      </c>
      <c r="K175" s="15" t="str">
        <f>IF(C175&lt;&gt;"OK","",IF(B175="HEARING",'Case inputs'!D175,EDATE(J175,Assumptions!$B$13)))</f>
        <v/>
      </c>
      <c r="L175" s="15" t="str">
        <f>IF(C175&lt;&gt;"OK","",IF(G175="SCHEDULED",H175,EDATE(IF(B175="HEARING",H175,EDATE(K175,INT(D175))+ROUND(MOD(D175,1)*30.44,0)),Assumptions!$B$18)))</f>
        <v/>
      </c>
      <c r="M175" s="15" t="str">
        <f>IF(C175&lt;&gt;"OK","",EDATE(L175,Assumptions!$B$15))</f>
        <v/>
      </c>
      <c r="N175" s="17" t="str">
        <f>IF(C175&lt;&gt;"OK","",IF(B175="INITIAL",Assumptions!$B$21,0))</f>
        <v/>
      </c>
      <c r="O175" s="17" t="str">
        <f>IF(C175&lt;&gt;"OK","",IF(B175="INITIAL",(1-Assumptions!$B$21)*Assumptions!$B$24*Assumptions!$B$22,IF(B175="RECON",Assumptions!$B$22,0)))</f>
        <v/>
      </c>
      <c r="P175" s="17" t="str">
        <f>IF(C175&lt;&gt;"OK","",IF(B175="INITIAL",(1-Assumptions!$B$21)*Assumptions!$B$24*(1-Assumptions!$B$22)*Assumptions!$B$25,IF(B175="RECON",(1-Assumptions!$B$22)*Assumptions!$B$25,1)))</f>
        <v/>
      </c>
      <c r="Q175" s="17" t="str">
        <f>IF(C175&lt;&gt;"OK","",IF(B175="INITIAL",(1-Assumptions!$B$21)*(1-Assumptions!$B$24),0))</f>
        <v/>
      </c>
      <c r="R175" s="17" t="str">
        <f>IF(C175&lt;&gt;"OK","",IF(B175="INITIAL",(1-Assumptions!$B$21)*Assumptions!$B$24*(1-Assumptions!$B$22)*(1-Assumptions!$B$25),IF(B175="RECON",(1-Assumptions!$B$22)*(1-Assumptions!$B$25),0)))</f>
        <v/>
      </c>
      <c r="S175" s="17" t="str">
        <f>IF(C175&lt;&gt;"OK","",P175*Assumptions!$B$23)</f>
        <v/>
      </c>
      <c r="T175" s="17" t="str">
        <f>IF(C175&lt;&gt;"OK","",P175*(1-Assumptions!$B$23))</f>
        <v/>
      </c>
      <c r="U175" s="18" t="str">
        <f t="shared" si="11"/>
        <v/>
      </c>
      <c r="V175" s="15" t="str">
        <f>IF(C175&lt;&gt;"OK","",IF(B175="INITIAL",EDATE(I175,Assumptions!$B$14),""))</f>
        <v/>
      </c>
      <c r="W175" s="15" t="str">
        <f>IF(C175&lt;&gt;"OK","",IF(B175="HEARING","",EDATE(J175,Assumptions!$B$14)))</f>
        <v/>
      </c>
      <c r="X175" s="15" t="str">
        <f>IF(C175&lt;&gt;"OK","",EDATE(M175,Assumptions!$B$16))</f>
        <v/>
      </c>
    </row>
    <row r="176" spans="1:24" ht="22" customHeight="1">
      <c r="A176" s="11" t="str">
        <f>IF('Case inputs'!A176="","",'Case inputs'!A176)</f>
        <v/>
      </c>
      <c r="B176" s="11" t="str">
        <f>IF(A176="","",'Case inputs'!C176)</f>
        <v/>
      </c>
      <c r="C176" s="11" t="str">
        <f>IF('Case inputs'!I176="","",IF(Assumptions!$B$38&lt;&gt;"OK","ASSUMPTIONS INVALID",'Case inputs'!I176))</f>
        <v/>
      </c>
      <c r="D176" s="11" t="str">
        <f>IF(C176&lt;&gt;"OK","",VLOOKUP('Case inputs'!E176,Benchmarks!$A$6:$C$164,3,FALSE))</f>
        <v/>
      </c>
      <c r="E176" s="11" t="str">
        <f>IF(C176&lt;&gt;"OK","",Assumptions!$B$5-'Case inputs'!D176)</f>
        <v/>
      </c>
      <c r="F176" s="15" t="str">
        <f>IF(C176&lt;&gt;"OK","",IF(B176="INITIAL",'Case inputs'!D176+Assumptions!$B$10,IF(B176="RECON",'Case inputs'!D176+Assumptions!$B$11,EDATE('Case inputs'!D176,INT(D176))+ROUND(MOD(D176,1)*30.44,0))))</f>
        <v/>
      </c>
      <c r="G176" s="11" t="str">
        <f>IF(C176&lt;&gt;"OK","",IF(AND(B176="HEARING",'Case inputs'!F176&lt;&gt;"",'Case inputs'!F176&gt;=Assumptions!$B$5),"SCHEDULED",IF('Case inputs'!G176&lt;&gt;"","REVIEWED OVERRIDE",IF(F176&lt;Assumptions!$B$5,"OVERDUE: FUTURE WINDOW","BENCHMARK SCENARIO"))))</f>
        <v/>
      </c>
      <c r="H176" s="15" t="str">
        <f>IF(C176&lt;&gt;"OK","",IF(G176="SCHEDULED",'Case inputs'!F176,IF('Case inputs'!G176&lt;&gt;"",'Case inputs'!G176,IF(F176&lt;Assumptions!$B$5,EDATE(Assumptions!$B$5,Assumptions!$B$17),F176))))</f>
        <v/>
      </c>
      <c r="I176" s="16" t="str">
        <f t="shared" si="10"/>
        <v/>
      </c>
      <c r="J176" s="15" t="str">
        <f>IF(C176&lt;&gt;"OK","",IF(B176="INITIAL",EDATE(I176,Assumptions!$B$12)+Assumptions!$B$11,IF(B176="RECON",H176,"")))</f>
        <v/>
      </c>
      <c r="K176" s="15" t="str">
        <f>IF(C176&lt;&gt;"OK","",IF(B176="HEARING",'Case inputs'!D176,EDATE(J176,Assumptions!$B$13)))</f>
        <v/>
      </c>
      <c r="L176" s="15" t="str">
        <f>IF(C176&lt;&gt;"OK","",IF(G176="SCHEDULED",H176,EDATE(IF(B176="HEARING",H176,EDATE(K176,INT(D176))+ROUND(MOD(D176,1)*30.44,0)),Assumptions!$B$18)))</f>
        <v/>
      </c>
      <c r="M176" s="15" t="str">
        <f>IF(C176&lt;&gt;"OK","",EDATE(L176,Assumptions!$B$15))</f>
        <v/>
      </c>
      <c r="N176" s="17" t="str">
        <f>IF(C176&lt;&gt;"OK","",IF(B176="INITIAL",Assumptions!$B$21,0))</f>
        <v/>
      </c>
      <c r="O176" s="17" t="str">
        <f>IF(C176&lt;&gt;"OK","",IF(B176="INITIAL",(1-Assumptions!$B$21)*Assumptions!$B$24*Assumptions!$B$22,IF(B176="RECON",Assumptions!$B$22,0)))</f>
        <v/>
      </c>
      <c r="P176" s="17" t="str">
        <f>IF(C176&lt;&gt;"OK","",IF(B176="INITIAL",(1-Assumptions!$B$21)*Assumptions!$B$24*(1-Assumptions!$B$22)*Assumptions!$B$25,IF(B176="RECON",(1-Assumptions!$B$22)*Assumptions!$B$25,1)))</f>
        <v/>
      </c>
      <c r="Q176" s="17" t="str">
        <f>IF(C176&lt;&gt;"OK","",IF(B176="INITIAL",(1-Assumptions!$B$21)*(1-Assumptions!$B$24),0))</f>
        <v/>
      </c>
      <c r="R176" s="17" t="str">
        <f>IF(C176&lt;&gt;"OK","",IF(B176="INITIAL",(1-Assumptions!$B$21)*Assumptions!$B$24*(1-Assumptions!$B$22)*(1-Assumptions!$B$25),IF(B176="RECON",(1-Assumptions!$B$22)*(1-Assumptions!$B$25),0)))</f>
        <v/>
      </c>
      <c r="S176" s="17" t="str">
        <f>IF(C176&lt;&gt;"OK","",P176*Assumptions!$B$23)</f>
        <v/>
      </c>
      <c r="T176" s="17" t="str">
        <f>IF(C176&lt;&gt;"OK","",P176*(1-Assumptions!$B$23))</f>
        <v/>
      </c>
      <c r="U176" s="18" t="str">
        <f t="shared" si="11"/>
        <v/>
      </c>
      <c r="V176" s="15" t="str">
        <f>IF(C176&lt;&gt;"OK","",IF(B176="INITIAL",EDATE(I176,Assumptions!$B$14),""))</f>
        <v/>
      </c>
      <c r="W176" s="15" t="str">
        <f>IF(C176&lt;&gt;"OK","",IF(B176="HEARING","",EDATE(J176,Assumptions!$B$14)))</f>
        <v/>
      </c>
      <c r="X176" s="15" t="str">
        <f>IF(C176&lt;&gt;"OK","",EDATE(M176,Assumptions!$B$16))</f>
        <v/>
      </c>
    </row>
    <row r="177" spans="1:24" ht="22" customHeight="1">
      <c r="A177" s="11" t="str">
        <f>IF('Case inputs'!A177="","",'Case inputs'!A177)</f>
        <v/>
      </c>
      <c r="B177" s="11" t="str">
        <f>IF(A177="","",'Case inputs'!C177)</f>
        <v/>
      </c>
      <c r="C177" s="11" t="str">
        <f>IF('Case inputs'!I177="","",IF(Assumptions!$B$38&lt;&gt;"OK","ASSUMPTIONS INVALID",'Case inputs'!I177))</f>
        <v/>
      </c>
      <c r="D177" s="11" t="str">
        <f>IF(C177&lt;&gt;"OK","",VLOOKUP('Case inputs'!E177,Benchmarks!$A$6:$C$164,3,FALSE))</f>
        <v/>
      </c>
      <c r="E177" s="11" t="str">
        <f>IF(C177&lt;&gt;"OK","",Assumptions!$B$5-'Case inputs'!D177)</f>
        <v/>
      </c>
      <c r="F177" s="15" t="str">
        <f>IF(C177&lt;&gt;"OK","",IF(B177="INITIAL",'Case inputs'!D177+Assumptions!$B$10,IF(B177="RECON",'Case inputs'!D177+Assumptions!$B$11,EDATE('Case inputs'!D177,INT(D177))+ROUND(MOD(D177,1)*30.44,0))))</f>
        <v/>
      </c>
      <c r="G177" s="11" t="str">
        <f>IF(C177&lt;&gt;"OK","",IF(AND(B177="HEARING",'Case inputs'!F177&lt;&gt;"",'Case inputs'!F177&gt;=Assumptions!$B$5),"SCHEDULED",IF('Case inputs'!G177&lt;&gt;"","REVIEWED OVERRIDE",IF(F177&lt;Assumptions!$B$5,"OVERDUE: FUTURE WINDOW","BENCHMARK SCENARIO"))))</f>
        <v/>
      </c>
      <c r="H177" s="15" t="str">
        <f>IF(C177&lt;&gt;"OK","",IF(G177="SCHEDULED",'Case inputs'!F177,IF('Case inputs'!G177&lt;&gt;"",'Case inputs'!G177,IF(F177&lt;Assumptions!$B$5,EDATE(Assumptions!$B$5,Assumptions!$B$17),F177))))</f>
        <v/>
      </c>
      <c r="I177" s="16" t="str">
        <f t="shared" si="10"/>
        <v/>
      </c>
      <c r="J177" s="15" t="str">
        <f>IF(C177&lt;&gt;"OK","",IF(B177="INITIAL",EDATE(I177,Assumptions!$B$12)+Assumptions!$B$11,IF(B177="RECON",H177,"")))</f>
        <v/>
      </c>
      <c r="K177" s="15" t="str">
        <f>IF(C177&lt;&gt;"OK","",IF(B177="HEARING",'Case inputs'!D177,EDATE(J177,Assumptions!$B$13)))</f>
        <v/>
      </c>
      <c r="L177" s="15" t="str">
        <f>IF(C177&lt;&gt;"OK","",IF(G177="SCHEDULED",H177,EDATE(IF(B177="HEARING",H177,EDATE(K177,INT(D177))+ROUND(MOD(D177,1)*30.44,0)),Assumptions!$B$18)))</f>
        <v/>
      </c>
      <c r="M177" s="15" t="str">
        <f>IF(C177&lt;&gt;"OK","",EDATE(L177,Assumptions!$B$15))</f>
        <v/>
      </c>
      <c r="N177" s="17" t="str">
        <f>IF(C177&lt;&gt;"OK","",IF(B177="INITIAL",Assumptions!$B$21,0))</f>
        <v/>
      </c>
      <c r="O177" s="17" t="str">
        <f>IF(C177&lt;&gt;"OK","",IF(B177="INITIAL",(1-Assumptions!$B$21)*Assumptions!$B$24*Assumptions!$B$22,IF(B177="RECON",Assumptions!$B$22,0)))</f>
        <v/>
      </c>
      <c r="P177" s="17" t="str">
        <f>IF(C177&lt;&gt;"OK","",IF(B177="INITIAL",(1-Assumptions!$B$21)*Assumptions!$B$24*(1-Assumptions!$B$22)*Assumptions!$B$25,IF(B177="RECON",(1-Assumptions!$B$22)*Assumptions!$B$25,1)))</f>
        <v/>
      </c>
      <c r="Q177" s="17" t="str">
        <f>IF(C177&lt;&gt;"OK","",IF(B177="INITIAL",(1-Assumptions!$B$21)*(1-Assumptions!$B$24),0))</f>
        <v/>
      </c>
      <c r="R177" s="17" t="str">
        <f>IF(C177&lt;&gt;"OK","",IF(B177="INITIAL",(1-Assumptions!$B$21)*Assumptions!$B$24*(1-Assumptions!$B$22)*(1-Assumptions!$B$25),IF(B177="RECON",(1-Assumptions!$B$22)*(1-Assumptions!$B$25),0)))</f>
        <v/>
      </c>
      <c r="S177" s="17" t="str">
        <f>IF(C177&lt;&gt;"OK","",P177*Assumptions!$B$23)</f>
        <v/>
      </c>
      <c r="T177" s="17" t="str">
        <f>IF(C177&lt;&gt;"OK","",P177*(1-Assumptions!$B$23))</f>
        <v/>
      </c>
      <c r="U177" s="18" t="str">
        <f t="shared" si="11"/>
        <v/>
      </c>
      <c r="V177" s="15" t="str">
        <f>IF(C177&lt;&gt;"OK","",IF(B177="INITIAL",EDATE(I177,Assumptions!$B$14),""))</f>
        <v/>
      </c>
      <c r="W177" s="15" t="str">
        <f>IF(C177&lt;&gt;"OK","",IF(B177="HEARING","",EDATE(J177,Assumptions!$B$14)))</f>
        <v/>
      </c>
      <c r="X177" s="15" t="str">
        <f>IF(C177&lt;&gt;"OK","",EDATE(M177,Assumptions!$B$16))</f>
        <v/>
      </c>
    </row>
    <row r="178" spans="1:24" ht="22" customHeight="1">
      <c r="A178" s="11" t="str">
        <f>IF('Case inputs'!A178="","",'Case inputs'!A178)</f>
        <v/>
      </c>
      <c r="B178" s="11" t="str">
        <f>IF(A178="","",'Case inputs'!C178)</f>
        <v/>
      </c>
      <c r="C178" s="11" t="str">
        <f>IF('Case inputs'!I178="","",IF(Assumptions!$B$38&lt;&gt;"OK","ASSUMPTIONS INVALID",'Case inputs'!I178))</f>
        <v/>
      </c>
      <c r="D178" s="11" t="str">
        <f>IF(C178&lt;&gt;"OK","",VLOOKUP('Case inputs'!E178,Benchmarks!$A$6:$C$164,3,FALSE))</f>
        <v/>
      </c>
      <c r="E178" s="11" t="str">
        <f>IF(C178&lt;&gt;"OK","",Assumptions!$B$5-'Case inputs'!D178)</f>
        <v/>
      </c>
      <c r="F178" s="15" t="str">
        <f>IF(C178&lt;&gt;"OK","",IF(B178="INITIAL",'Case inputs'!D178+Assumptions!$B$10,IF(B178="RECON",'Case inputs'!D178+Assumptions!$B$11,EDATE('Case inputs'!D178,INT(D178))+ROUND(MOD(D178,1)*30.44,0))))</f>
        <v/>
      </c>
      <c r="G178" s="11" t="str">
        <f>IF(C178&lt;&gt;"OK","",IF(AND(B178="HEARING",'Case inputs'!F178&lt;&gt;"",'Case inputs'!F178&gt;=Assumptions!$B$5),"SCHEDULED",IF('Case inputs'!G178&lt;&gt;"","REVIEWED OVERRIDE",IF(F178&lt;Assumptions!$B$5,"OVERDUE: FUTURE WINDOW","BENCHMARK SCENARIO"))))</f>
        <v/>
      </c>
      <c r="H178" s="15" t="str">
        <f>IF(C178&lt;&gt;"OK","",IF(G178="SCHEDULED",'Case inputs'!F178,IF('Case inputs'!G178&lt;&gt;"",'Case inputs'!G178,IF(F178&lt;Assumptions!$B$5,EDATE(Assumptions!$B$5,Assumptions!$B$17),F178))))</f>
        <v/>
      </c>
      <c r="I178" s="16" t="str">
        <f t="shared" si="10"/>
        <v/>
      </c>
      <c r="J178" s="15" t="str">
        <f>IF(C178&lt;&gt;"OK","",IF(B178="INITIAL",EDATE(I178,Assumptions!$B$12)+Assumptions!$B$11,IF(B178="RECON",H178,"")))</f>
        <v/>
      </c>
      <c r="K178" s="15" t="str">
        <f>IF(C178&lt;&gt;"OK","",IF(B178="HEARING",'Case inputs'!D178,EDATE(J178,Assumptions!$B$13)))</f>
        <v/>
      </c>
      <c r="L178" s="15" t="str">
        <f>IF(C178&lt;&gt;"OK","",IF(G178="SCHEDULED",H178,EDATE(IF(B178="HEARING",H178,EDATE(K178,INT(D178))+ROUND(MOD(D178,1)*30.44,0)),Assumptions!$B$18)))</f>
        <v/>
      </c>
      <c r="M178" s="15" t="str">
        <f>IF(C178&lt;&gt;"OK","",EDATE(L178,Assumptions!$B$15))</f>
        <v/>
      </c>
      <c r="N178" s="17" t="str">
        <f>IF(C178&lt;&gt;"OK","",IF(B178="INITIAL",Assumptions!$B$21,0))</f>
        <v/>
      </c>
      <c r="O178" s="17" t="str">
        <f>IF(C178&lt;&gt;"OK","",IF(B178="INITIAL",(1-Assumptions!$B$21)*Assumptions!$B$24*Assumptions!$B$22,IF(B178="RECON",Assumptions!$B$22,0)))</f>
        <v/>
      </c>
      <c r="P178" s="17" t="str">
        <f>IF(C178&lt;&gt;"OK","",IF(B178="INITIAL",(1-Assumptions!$B$21)*Assumptions!$B$24*(1-Assumptions!$B$22)*Assumptions!$B$25,IF(B178="RECON",(1-Assumptions!$B$22)*Assumptions!$B$25,1)))</f>
        <v/>
      </c>
      <c r="Q178" s="17" t="str">
        <f>IF(C178&lt;&gt;"OK","",IF(B178="INITIAL",(1-Assumptions!$B$21)*(1-Assumptions!$B$24),0))</f>
        <v/>
      </c>
      <c r="R178" s="17" t="str">
        <f>IF(C178&lt;&gt;"OK","",IF(B178="INITIAL",(1-Assumptions!$B$21)*Assumptions!$B$24*(1-Assumptions!$B$22)*(1-Assumptions!$B$25),IF(B178="RECON",(1-Assumptions!$B$22)*(1-Assumptions!$B$25),0)))</f>
        <v/>
      </c>
      <c r="S178" s="17" t="str">
        <f>IF(C178&lt;&gt;"OK","",P178*Assumptions!$B$23)</f>
        <v/>
      </c>
      <c r="T178" s="17" t="str">
        <f>IF(C178&lt;&gt;"OK","",P178*(1-Assumptions!$B$23))</f>
        <v/>
      </c>
      <c r="U178" s="18" t="str">
        <f t="shared" si="11"/>
        <v/>
      </c>
      <c r="V178" s="15" t="str">
        <f>IF(C178&lt;&gt;"OK","",IF(B178="INITIAL",EDATE(I178,Assumptions!$B$14),""))</f>
        <v/>
      </c>
      <c r="W178" s="15" t="str">
        <f>IF(C178&lt;&gt;"OK","",IF(B178="HEARING","",EDATE(J178,Assumptions!$B$14)))</f>
        <v/>
      </c>
      <c r="X178" s="15" t="str">
        <f>IF(C178&lt;&gt;"OK","",EDATE(M178,Assumptions!$B$16))</f>
        <v/>
      </c>
    </row>
    <row r="179" spans="1:24" ht="22" customHeight="1">
      <c r="A179" s="11" t="str">
        <f>IF('Case inputs'!A179="","",'Case inputs'!A179)</f>
        <v/>
      </c>
      <c r="B179" s="11" t="str">
        <f>IF(A179="","",'Case inputs'!C179)</f>
        <v/>
      </c>
      <c r="C179" s="11" t="str">
        <f>IF('Case inputs'!I179="","",IF(Assumptions!$B$38&lt;&gt;"OK","ASSUMPTIONS INVALID",'Case inputs'!I179))</f>
        <v/>
      </c>
      <c r="D179" s="11" t="str">
        <f>IF(C179&lt;&gt;"OK","",VLOOKUP('Case inputs'!E179,Benchmarks!$A$6:$C$164,3,FALSE))</f>
        <v/>
      </c>
      <c r="E179" s="11" t="str">
        <f>IF(C179&lt;&gt;"OK","",Assumptions!$B$5-'Case inputs'!D179)</f>
        <v/>
      </c>
      <c r="F179" s="15" t="str">
        <f>IF(C179&lt;&gt;"OK","",IF(B179="INITIAL",'Case inputs'!D179+Assumptions!$B$10,IF(B179="RECON",'Case inputs'!D179+Assumptions!$B$11,EDATE('Case inputs'!D179,INT(D179))+ROUND(MOD(D179,1)*30.44,0))))</f>
        <v/>
      </c>
      <c r="G179" s="11" t="str">
        <f>IF(C179&lt;&gt;"OK","",IF(AND(B179="HEARING",'Case inputs'!F179&lt;&gt;"",'Case inputs'!F179&gt;=Assumptions!$B$5),"SCHEDULED",IF('Case inputs'!G179&lt;&gt;"","REVIEWED OVERRIDE",IF(F179&lt;Assumptions!$B$5,"OVERDUE: FUTURE WINDOW","BENCHMARK SCENARIO"))))</f>
        <v/>
      </c>
      <c r="H179" s="15" t="str">
        <f>IF(C179&lt;&gt;"OK","",IF(G179="SCHEDULED",'Case inputs'!F179,IF('Case inputs'!G179&lt;&gt;"",'Case inputs'!G179,IF(F179&lt;Assumptions!$B$5,EDATE(Assumptions!$B$5,Assumptions!$B$17),F179))))</f>
        <v/>
      </c>
      <c r="I179" s="16" t="str">
        <f t="shared" si="10"/>
        <v/>
      </c>
      <c r="J179" s="15" t="str">
        <f>IF(C179&lt;&gt;"OK","",IF(B179="INITIAL",EDATE(I179,Assumptions!$B$12)+Assumptions!$B$11,IF(B179="RECON",H179,"")))</f>
        <v/>
      </c>
      <c r="K179" s="15" t="str">
        <f>IF(C179&lt;&gt;"OK","",IF(B179="HEARING",'Case inputs'!D179,EDATE(J179,Assumptions!$B$13)))</f>
        <v/>
      </c>
      <c r="L179" s="15" t="str">
        <f>IF(C179&lt;&gt;"OK","",IF(G179="SCHEDULED",H179,EDATE(IF(B179="HEARING",H179,EDATE(K179,INT(D179))+ROUND(MOD(D179,1)*30.44,0)),Assumptions!$B$18)))</f>
        <v/>
      </c>
      <c r="M179" s="15" t="str">
        <f>IF(C179&lt;&gt;"OK","",EDATE(L179,Assumptions!$B$15))</f>
        <v/>
      </c>
      <c r="N179" s="17" t="str">
        <f>IF(C179&lt;&gt;"OK","",IF(B179="INITIAL",Assumptions!$B$21,0))</f>
        <v/>
      </c>
      <c r="O179" s="17" t="str">
        <f>IF(C179&lt;&gt;"OK","",IF(B179="INITIAL",(1-Assumptions!$B$21)*Assumptions!$B$24*Assumptions!$B$22,IF(B179="RECON",Assumptions!$B$22,0)))</f>
        <v/>
      </c>
      <c r="P179" s="17" t="str">
        <f>IF(C179&lt;&gt;"OK","",IF(B179="INITIAL",(1-Assumptions!$B$21)*Assumptions!$B$24*(1-Assumptions!$B$22)*Assumptions!$B$25,IF(B179="RECON",(1-Assumptions!$B$22)*Assumptions!$B$25,1)))</f>
        <v/>
      </c>
      <c r="Q179" s="17" t="str">
        <f>IF(C179&lt;&gt;"OK","",IF(B179="INITIAL",(1-Assumptions!$B$21)*(1-Assumptions!$B$24),0))</f>
        <v/>
      </c>
      <c r="R179" s="17" t="str">
        <f>IF(C179&lt;&gt;"OK","",IF(B179="INITIAL",(1-Assumptions!$B$21)*Assumptions!$B$24*(1-Assumptions!$B$22)*(1-Assumptions!$B$25),IF(B179="RECON",(1-Assumptions!$B$22)*(1-Assumptions!$B$25),0)))</f>
        <v/>
      </c>
      <c r="S179" s="17" t="str">
        <f>IF(C179&lt;&gt;"OK","",P179*Assumptions!$B$23)</f>
        <v/>
      </c>
      <c r="T179" s="17" t="str">
        <f>IF(C179&lt;&gt;"OK","",P179*(1-Assumptions!$B$23))</f>
        <v/>
      </c>
      <c r="U179" s="18" t="str">
        <f t="shared" si="11"/>
        <v/>
      </c>
      <c r="V179" s="15" t="str">
        <f>IF(C179&lt;&gt;"OK","",IF(B179="INITIAL",EDATE(I179,Assumptions!$B$14),""))</f>
        <v/>
      </c>
      <c r="W179" s="15" t="str">
        <f>IF(C179&lt;&gt;"OK","",IF(B179="HEARING","",EDATE(J179,Assumptions!$B$14)))</f>
        <v/>
      </c>
      <c r="X179" s="15" t="str">
        <f>IF(C179&lt;&gt;"OK","",EDATE(M179,Assumptions!$B$16))</f>
        <v/>
      </c>
    </row>
    <row r="180" spans="1:24" ht="22" customHeight="1">
      <c r="A180" s="11" t="str">
        <f>IF('Case inputs'!A180="","",'Case inputs'!A180)</f>
        <v/>
      </c>
      <c r="B180" s="11" t="str">
        <f>IF(A180="","",'Case inputs'!C180)</f>
        <v/>
      </c>
      <c r="C180" s="11" t="str">
        <f>IF('Case inputs'!I180="","",IF(Assumptions!$B$38&lt;&gt;"OK","ASSUMPTIONS INVALID",'Case inputs'!I180))</f>
        <v/>
      </c>
      <c r="D180" s="11" t="str">
        <f>IF(C180&lt;&gt;"OK","",VLOOKUP('Case inputs'!E180,Benchmarks!$A$6:$C$164,3,FALSE))</f>
        <v/>
      </c>
      <c r="E180" s="11" t="str">
        <f>IF(C180&lt;&gt;"OK","",Assumptions!$B$5-'Case inputs'!D180)</f>
        <v/>
      </c>
      <c r="F180" s="15" t="str">
        <f>IF(C180&lt;&gt;"OK","",IF(B180="INITIAL",'Case inputs'!D180+Assumptions!$B$10,IF(B180="RECON",'Case inputs'!D180+Assumptions!$B$11,EDATE('Case inputs'!D180,INT(D180))+ROUND(MOD(D180,1)*30.44,0))))</f>
        <v/>
      </c>
      <c r="G180" s="11" t="str">
        <f>IF(C180&lt;&gt;"OK","",IF(AND(B180="HEARING",'Case inputs'!F180&lt;&gt;"",'Case inputs'!F180&gt;=Assumptions!$B$5),"SCHEDULED",IF('Case inputs'!G180&lt;&gt;"","REVIEWED OVERRIDE",IF(F180&lt;Assumptions!$B$5,"OVERDUE: FUTURE WINDOW","BENCHMARK SCENARIO"))))</f>
        <v/>
      </c>
      <c r="H180" s="15" t="str">
        <f>IF(C180&lt;&gt;"OK","",IF(G180="SCHEDULED",'Case inputs'!F180,IF('Case inputs'!G180&lt;&gt;"",'Case inputs'!G180,IF(F180&lt;Assumptions!$B$5,EDATE(Assumptions!$B$5,Assumptions!$B$17),F180))))</f>
        <v/>
      </c>
      <c r="I180" s="16" t="str">
        <f t="shared" si="10"/>
        <v/>
      </c>
      <c r="J180" s="15" t="str">
        <f>IF(C180&lt;&gt;"OK","",IF(B180="INITIAL",EDATE(I180,Assumptions!$B$12)+Assumptions!$B$11,IF(B180="RECON",H180,"")))</f>
        <v/>
      </c>
      <c r="K180" s="15" t="str">
        <f>IF(C180&lt;&gt;"OK","",IF(B180="HEARING",'Case inputs'!D180,EDATE(J180,Assumptions!$B$13)))</f>
        <v/>
      </c>
      <c r="L180" s="15" t="str">
        <f>IF(C180&lt;&gt;"OK","",IF(G180="SCHEDULED",H180,EDATE(IF(B180="HEARING",H180,EDATE(K180,INT(D180))+ROUND(MOD(D180,1)*30.44,0)),Assumptions!$B$18)))</f>
        <v/>
      </c>
      <c r="M180" s="15" t="str">
        <f>IF(C180&lt;&gt;"OK","",EDATE(L180,Assumptions!$B$15))</f>
        <v/>
      </c>
      <c r="N180" s="17" t="str">
        <f>IF(C180&lt;&gt;"OK","",IF(B180="INITIAL",Assumptions!$B$21,0))</f>
        <v/>
      </c>
      <c r="O180" s="17" t="str">
        <f>IF(C180&lt;&gt;"OK","",IF(B180="INITIAL",(1-Assumptions!$B$21)*Assumptions!$B$24*Assumptions!$B$22,IF(B180="RECON",Assumptions!$B$22,0)))</f>
        <v/>
      </c>
      <c r="P180" s="17" t="str">
        <f>IF(C180&lt;&gt;"OK","",IF(B180="INITIAL",(1-Assumptions!$B$21)*Assumptions!$B$24*(1-Assumptions!$B$22)*Assumptions!$B$25,IF(B180="RECON",(1-Assumptions!$B$22)*Assumptions!$B$25,1)))</f>
        <v/>
      </c>
      <c r="Q180" s="17" t="str">
        <f>IF(C180&lt;&gt;"OK","",IF(B180="INITIAL",(1-Assumptions!$B$21)*(1-Assumptions!$B$24),0))</f>
        <v/>
      </c>
      <c r="R180" s="17" t="str">
        <f>IF(C180&lt;&gt;"OK","",IF(B180="INITIAL",(1-Assumptions!$B$21)*Assumptions!$B$24*(1-Assumptions!$B$22)*(1-Assumptions!$B$25),IF(B180="RECON",(1-Assumptions!$B$22)*(1-Assumptions!$B$25),0)))</f>
        <v/>
      </c>
      <c r="S180" s="17" t="str">
        <f>IF(C180&lt;&gt;"OK","",P180*Assumptions!$B$23)</f>
        <v/>
      </c>
      <c r="T180" s="17" t="str">
        <f>IF(C180&lt;&gt;"OK","",P180*(1-Assumptions!$B$23))</f>
        <v/>
      </c>
      <c r="U180" s="18" t="str">
        <f t="shared" si="11"/>
        <v/>
      </c>
      <c r="V180" s="15" t="str">
        <f>IF(C180&lt;&gt;"OK","",IF(B180="INITIAL",EDATE(I180,Assumptions!$B$14),""))</f>
        <v/>
      </c>
      <c r="W180" s="15" t="str">
        <f>IF(C180&lt;&gt;"OK","",IF(B180="HEARING","",EDATE(J180,Assumptions!$B$14)))</f>
        <v/>
      </c>
      <c r="X180" s="15" t="str">
        <f>IF(C180&lt;&gt;"OK","",EDATE(M180,Assumptions!$B$16))</f>
        <v/>
      </c>
    </row>
    <row r="181" spans="1:24" ht="22" customHeight="1">
      <c r="A181" s="11" t="str">
        <f>IF('Case inputs'!A181="","",'Case inputs'!A181)</f>
        <v/>
      </c>
      <c r="B181" s="11" t="str">
        <f>IF(A181="","",'Case inputs'!C181)</f>
        <v/>
      </c>
      <c r="C181" s="11" t="str">
        <f>IF('Case inputs'!I181="","",IF(Assumptions!$B$38&lt;&gt;"OK","ASSUMPTIONS INVALID",'Case inputs'!I181))</f>
        <v/>
      </c>
      <c r="D181" s="11" t="str">
        <f>IF(C181&lt;&gt;"OK","",VLOOKUP('Case inputs'!E181,Benchmarks!$A$6:$C$164,3,FALSE))</f>
        <v/>
      </c>
      <c r="E181" s="11" t="str">
        <f>IF(C181&lt;&gt;"OK","",Assumptions!$B$5-'Case inputs'!D181)</f>
        <v/>
      </c>
      <c r="F181" s="15" t="str">
        <f>IF(C181&lt;&gt;"OK","",IF(B181="INITIAL",'Case inputs'!D181+Assumptions!$B$10,IF(B181="RECON",'Case inputs'!D181+Assumptions!$B$11,EDATE('Case inputs'!D181,INT(D181))+ROUND(MOD(D181,1)*30.44,0))))</f>
        <v/>
      </c>
      <c r="G181" s="11" t="str">
        <f>IF(C181&lt;&gt;"OK","",IF(AND(B181="HEARING",'Case inputs'!F181&lt;&gt;"",'Case inputs'!F181&gt;=Assumptions!$B$5),"SCHEDULED",IF('Case inputs'!G181&lt;&gt;"","REVIEWED OVERRIDE",IF(F181&lt;Assumptions!$B$5,"OVERDUE: FUTURE WINDOW","BENCHMARK SCENARIO"))))</f>
        <v/>
      </c>
      <c r="H181" s="15" t="str">
        <f>IF(C181&lt;&gt;"OK","",IF(G181="SCHEDULED",'Case inputs'!F181,IF('Case inputs'!G181&lt;&gt;"",'Case inputs'!G181,IF(F181&lt;Assumptions!$B$5,EDATE(Assumptions!$B$5,Assumptions!$B$17),F181))))</f>
        <v/>
      </c>
      <c r="I181" s="16" t="str">
        <f t="shared" si="10"/>
        <v/>
      </c>
      <c r="J181" s="15" t="str">
        <f>IF(C181&lt;&gt;"OK","",IF(B181="INITIAL",EDATE(I181,Assumptions!$B$12)+Assumptions!$B$11,IF(B181="RECON",H181,"")))</f>
        <v/>
      </c>
      <c r="K181" s="15" t="str">
        <f>IF(C181&lt;&gt;"OK","",IF(B181="HEARING",'Case inputs'!D181,EDATE(J181,Assumptions!$B$13)))</f>
        <v/>
      </c>
      <c r="L181" s="15" t="str">
        <f>IF(C181&lt;&gt;"OK","",IF(G181="SCHEDULED",H181,EDATE(IF(B181="HEARING",H181,EDATE(K181,INT(D181))+ROUND(MOD(D181,1)*30.44,0)),Assumptions!$B$18)))</f>
        <v/>
      </c>
      <c r="M181" s="15" t="str">
        <f>IF(C181&lt;&gt;"OK","",EDATE(L181,Assumptions!$B$15))</f>
        <v/>
      </c>
      <c r="N181" s="17" t="str">
        <f>IF(C181&lt;&gt;"OK","",IF(B181="INITIAL",Assumptions!$B$21,0))</f>
        <v/>
      </c>
      <c r="O181" s="17" t="str">
        <f>IF(C181&lt;&gt;"OK","",IF(B181="INITIAL",(1-Assumptions!$B$21)*Assumptions!$B$24*Assumptions!$B$22,IF(B181="RECON",Assumptions!$B$22,0)))</f>
        <v/>
      </c>
      <c r="P181" s="17" t="str">
        <f>IF(C181&lt;&gt;"OK","",IF(B181="INITIAL",(1-Assumptions!$B$21)*Assumptions!$B$24*(1-Assumptions!$B$22)*Assumptions!$B$25,IF(B181="RECON",(1-Assumptions!$B$22)*Assumptions!$B$25,1)))</f>
        <v/>
      </c>
      <c r="Q181" s="17" t="str">
        <f>IF(C181&lt;&gt;"OK","",IF(B181="INITIAL",(1-Assumptions!$B$21)*(1-Assumptions!$B$24),0))</f>
        <v/>
      </c>
      <c r="R181" s="17" t="str">
        <f>IF(C181&lt;&gt;"OK","",IF(B181="INITIAL",(1-Assumptions!$B$21)*Assumptions!$B$24*(1-Assumptions!$B$22)*(1-Assumptions!$B$25),IF(B181="RECON",(1-Assumptions!$B$22)*(1-Assumptions!$B$25),0)))</f>
        <v/>
      </c>
      <c r="S181" s="17" t="str">
        <f>IF(C181&lt;&gt;"OK","",P181*Assumptions!$B$23)</f>
        <v/>
      </c>
      <c r="T181" s="17" t="str">
        <f>IF(C181&lt;&gt;"OK","",P181*(1-Assumptions!$B$23))</f>
        <v/>
      </c>
      <c r="U181" s="18" t="str">
        <f t="shared" si="11"/>
        <v/>
      </c>
      <c r="V181" s="15" t="str">
        <f>IF(C181&lt;&gt;"OK","",IF(B181="INITIAL",EDATE(I181,Assumptions!$B$14),""))</f>
        <v/>
      </c>
      <c r="W181" s="15" t="str">
        <f>IF(C181&lt;&gt;"OK","",IF(B181="HEARING","",EDATE(J181,Assumptions!$B$14)))</f>
        <v/>
      </c>
      <c r="X181" s="15" t="str">
        <f>IF(C181&lt;&gt;"OK","",EDATE(M181,Assumptions!$B$16))</f>
        <v/>
      </c>
    </row>
    <row r="182" spans="1:24" ht="22" customHeight="1">
      <c r="A182" s="11" t="str">
        <f>IF('Case inputs'!A182="","",'Case inputs'!A182)</f>
        <v/>
      </c>
      <c r="B182" s="11" t="str">
        <f>IF(A182="","",'Case inputs'!C182)</f>
        <v/>
      </c>
      <c r="C182" s="11" t="str">
        <f>IF('Case inputs'!I182="","",IF(Assumptions!$B$38&lt;&gt;"OK","ASSUMPTIONS INVALID",'Case inputs'!I182))</f>
        <v/>
      </c>
      <c r="D182" s="11" t="str">
        <f>IF(C182&lt;&gt;"OK","",VLOOKUP('Case inputs'!E182,Benchmarks!$A$6:$C$164,3,FALSE))</f>
        <v/>
      </c>
      <c r="E182" s="11" t="str">
        <f>IF(C182&lt;&gt;"OK","",Assumptions!$B$5-'Case inputs'!D182)</f>
        <v/>
      </c>
      <c r="F182" s="15" t="str">
        <f>IF(C182&lt;&gt;"OK","",IF(B182="INITIAL",'Case inputs'!D182+Assumptions!$B$10,IF(B182="RECON",'Case inputs'!D182+Assumptions!$B$11,EDATE('Case inputs'!D182,INT(D182))+ROUND(MOD(D182,1)*30.44,0))))</f>
        <v/>
      </c>
      <c r="G182" s="11" t="str">
        <f>IF(C182&lt;&gt;"OK","",IF(AND(B182="HEARING",'Case inputs'!F182&lt;&gt;"",'Case inputs'!F182&gt;=Assumptions!$B$5),"SCHEDULED",IF('Case inputs'!G182&lt;&gt;"","REVIEWED OVERRIDE",IF(F182&lt;Assumptions!$B$5,"OVERDUE: FUTURE WINDOW","BENCHMARK SCENARIO"))))</f>
        <v/>
      </c>
      <c r="H182" s="15" t="str">
        <f>IF(C182&lt;&gt;"OK","",IF(G182="SCHEDULED",'Case inputs'!F182,IF('Case inputs'!G182&lt;&gt;"",'Case inputs'!G182,IF(F182&lt;Assumptions!$B$5,EDATE(Assumptions!$B$5,Assumptions!$B$17),F182))))</f>
        <v/>
      </c>
      <c r="I182" s="16" t="str">
        <f t="shared" si="10"/>
        <v/>
      </c>
      <c r="J182" s="15" t="str">
        <f>IF(C182&lt;&gt;"OK","",IF(B182="INITIAL",EDATE(I182,Assumptions!$B$12)+Assumptions!$B$11,IF(B182="RECON",H182,"")))</f>
        <v/>
      </c>
      <c r="K182" s="15" t="str">
        <f>IF(C182&lt;&gt;"OK","",IF(B182="HEARING",'Case inputs'!D182,EDATE(J182,Assumptions!$B$13)))</f>
        <v/>
      </c>
      <c r="L182" s="15" t="str">
        <f>IF(C182&lt;&gt;"OK","",IF(G182="SCHEDULED",H182,EDATE(IF(B182="HEARING",H182,EDATE(K182,INT(D182))+ROUND(MOD(D182,1)*30.44,0)),Assumptions!$B$18)))</f>
        <v/>
      </c>
      <c r="M182" s="15" t="str">
        <f>IF(C182&lt;&gt;"OK","",EDATE(L182,Assumptions!$B$15))</f>
        <v/>
      </c>
      <c r="N182" s="17" t="str">
        <f>IF(C182&lt;&gt;"OK","",IF(B182="INITIAL",Assumptions!$B$21,0))</f>
        <v/>
      </c>
      <c r="O182" s="17" t="str">
        <f>IF(C182&lt;&gt;"OK","",IF(B182="INITIAL",(1-Assumptions!$B$21)*Assumptions!$B$24*Assumptions!$B$22,IF(B182="RECON",Assumptions!$B$22,0)))</f>
        <v/>
      </c>
      <c r="P182" s="17" t="str">
        <f>IF(C182&lt;&gt;"OK","",IF(B182="INITIAL",(1-Assumptions!$B$21)*Assumptions!$B$24*(1-Assumptions!$B$22)*Assumptions!$B$25,IF(B182="RECON",(1-Assumptions!$B$22)*Assumptions!$B$25,1)))</f>
        <v/>
      </c>
      <c r="Q182" s="17" t="str">
        <f>IF(C182&lt;&gt;"OK","",IF(B182="INITIAL",(1-Assumptions!$B$21)*(1-Assumptions!$B$24),0))</f>
        <v/>
      </c>
      <c r="R182" s="17" t="str">
        <f>IF(C182&lt;&gt;"OK","",IF(B182="INITIAL",(1-Assumptions!$B$21)*Assumptions!$B$24*(1-Assumptions!$B$22)*(1-Assumptions!$B$25),IF(B182="RECON",(1-Assumptions!$B$22)*(1-Assumptions!$B$25),0)))</f>
        <v/>
      </c>
      <c r="S182" s="17" t="str">
        <f>IF(C182&lt;&gt;"OK","",P182*Assumptions!$B$23)</f>
        <v/>
      </c>
      <c r="T182" s="17" t="str">
        <f>IF(C182&lt;&gt;"OK","",P182*(1-Assumptions!$B$23))</f>
        <v/>
      </c>
      <c r="U182" s="18" t="str">
        <f t="shared" si="11"/>
        <v/>
      </c>
      <c r="V182" s="15" t="str">
        <f>IF(C182&lt;&gt;"OK","",IF(B182="INITIAL",EDATE(I182,Assumptions!$B$14),""))</f>
        <v/>
      </c>
      <c r="W182" s="15" t="str">
        <f>IF(C182&lt;&gt;"OK","",IF(B182="HEARING","",EDATE(J182,Assumptions!$B$14)))</f>
        <v/>
      </c>
      <c r="X182" s="15" t="str">
        <f>IF(C182&lt;&gt;"OK","",EDATE(M182,Assumptions!$B$16))</f>
        <v/>
      </c>
    </row>
    <row r="183" spans="1:24" ht="22" customHeight="1">
      <c r="A183" s="11" t="str">
        <f>IF('Case inputs'!A183="","",'Case inputs'!A183)</f>
        <v/>
      </c>
      <c r="B183" s="11" t="str">
        <f>IF(A183="","",'Case inputs'!C183)</f>
        <v/>
      </c>
      <c r="C183" s="11" t="str">
        <f>IF('Case inputs'!I183="","",IF(Assumptions!$B$38&lt;&gt;"OK","ASSUMPTIONS INVALID",'Case inputs'!I183))</f>
        <v/>
      </c>
      <c r="D183" s="11" t="str">
        <f>IF(C183&lt;&gt;"OK","",VLOOKUP('Case inputs'!E183,Benchmarks!$A$6:$C$164,3,FALSE))</f>
        <v/>
      </c>
      <c r="E183" s="11" t="str">
        <f>IF(C183&lt;&gt;"OK","",Assumptions!$B$5-'Case inputs'!D183)</f>
        <v/>
      </c>
      <c r="F183" s="15" t="str">
        <f>IF(C183&lt;&gt;"OK","",IF(B183="INITIAL",'Case inputs'!D183+Assumptions!$B$10,IF(B183="RECON",'Case inputs'!D183+Assumptions!$B$11,EDATE('Case inputs'!D183,INT(D183))+ROUND(MOD(D183,1)*30.44,0))))</f>
        <v/>
      </c>
      <c r="G183" s="11" t="str">
        <f>IF(C183&lt;&gt;"OK","",IF(AND(B183="HEARING",'Case inputs'!F183&lt;&gt;"",'Case inputs'!F183&gt;=Assumptions!$B$5),"SCHEDULED",IF('Case inputs'!G183&lt;&gt;"","REVIEWED OVERRIDE",IF(F183&lt;Assumptions!$B$5,"OVERDUE: FUTURE WINDOW","BENCHMARK SCENARIO"))))</f>
        <v/>
      </c>
      <c r="H183" s="15" t="str">
        <f>IF(C183&lt;&gt;"OK","",IF(G183="SCHEDULED",'Case inputs'!F183,IF('Case inputs'!G183&lt;&gt;"",'Case inputs'!G183,IF(F183&lt;Assumptions!$B$5,EDATE(Assumptions!$B$5,Assumptions!$B$17),F183))))</f>
        <v/>
      </c>
      <c r="I183" s="16" t="str">
        <f t="shared" si="10"/>
        <v/>
      </c>
      <c r="J183" s="15" t="str">
        <f>IF(C183&lt;&gt;"OK","",IF(B183="INITIAL",EDATE(I183,Assumptions!$B$12)+Assumptions!$B$11,IF(B183="RECON",H183,"")))</f>
        <v/>
      </c>
      <c r="K183" s="15" t="str">
        <f>IF(C183&lt;&gt;"OK","",IF(B183="HEARING",'Case inputs'!D183,EDATE(J183,Assumptions!$B$13)))</f>
        <v/>
      </c>
      <c r="L183" s="15" t="str">
        <f>IF(C183&lt;&gt;"OK","",IF(G183="SCHEDULED",H183,EDATE(IF(B183="HEARING",H183,EDATE(K183,INT(D183))+ROUND(MOD(D183,1)*30.44,0)),Assumptions!$B$18)))</f>
        <v/>
      </c>
      <c r="M183" s="15" t="str">
        <f>IF(C183&lt;&gt;"OK","",EDATE(L183,Assumptions!$B$15))</f>
        <v/>
      </c>
      <c r="N183" s="17" t="str">
        <f>IF(C183&lt;&gt;"OK","",IF(B183="INITIAL",Assumptions!$B$21,0))</f>
        <v/>
      </c>
      <c r="O183" s="17" t="str">
        <f>IF(C183&lt;&gt;"OK","",IF(B183="INITIAL",(1-Assumptions!$B$21)*Assumptions!$B$24*Assumptions!$B$22,IF(B183="RECON",Assumptions!$B$22,0)))</f>
        <v/>
      </c>
      <c r="P183" s="17" t="str">
        <f>IF(C183&lt;&gt;"OK","",IF(B183="INITIAL",(1-Assumptions!$B$21)*Assumptions!$B$24*(1-Assumptions!$B$22)*Assumptions!$B$25,IF(B183="RECON",(1-Assumptions!$B$22)*Assumptions!$B$25,1)))</f>
        <v/>
      </c>
      <c r="Q183" s="17" t="str">
        <f>IF(C183&lt;&gt;"OK","",IF(B183="INITIAL",(1-Assumptions!$B$21)*(1-Assumptions!$B$24),0))</f>
        <v/>
      </c>
      <c r="R183" s="17" t="str">
        <f>IF(C183&lt;&gt;"OK","",IF(B183="INITIAL",(1-Assumptions!$B$21)*Assumptions!$B$24*(1-Assumptions!$B$22)*(1-Assumptions!$B$25),IF(B183="RECON",(1-Assumptions!$B$22)*(1-Assumptions!$B$25),0)))</f>
        <v/>
      </c>
      <c r="S183" s="17" t="str">
        <f>IF(C183&lt;&gt;"OK","",P183*Assumptions!$B$23)</f>
        <v/>
      </c>
      <c r="T183" s="17" t="str">
        <f>IF(C183&lt;&gt;"OK","",P183*(1-Assumptions!$B$23))</f>
        <v/>
      </c>
      <c r="U183" s="18" t="str">
        <f t="shared" si="11"/>
        <v/>
      </c>
      <c r="V183" s="15" t="str">
        <f>IF(C183&lt;&gt;"OK","",IF(B183="INITIAL",EDATE(I183,Assumptions!$B$14),""))</f>
        <v/>
      </c>
      <c r="W183" s="15" t="str">
        <f>IF(C183&lt;&gt;"OK","",IF(B183="HEARING","",EDATE(J183,Assumptions!$B$14)))</f>
        <v/>
      </c>
      <c r="X183" s="15" t="str">
        <f>IF(C183&lt;&gt;"OK","",EDATE(M183,Assumptions!$B$16))</f>
        <v/>
      </c>
    </row>
    <row r="184" spans="1:24" ht="22" customHeight="1">
      <c r="A184" s="11" t="str">
        <f>IF('Case inputs'!A184="","",'Case inputs'!A184)</f>
        <v/>
      </c>
      <c r="B184" s="11" t="str">
        <f>IF(A184="","",'Case inputs'!C184)</f>
        <v/>
      </c>
      <c r="C184" s="11" t="str">
        <f>IF('Case inputs'!I184="","",IF(Assumptions!$B$38&lt;&gt;"OK","ASSUMPTIONS INVALID",'Case inputs'!I184))</f>
        <v/>
      </c>
      <c r="D184" s="11" t="str">
        <f>IF(C184&lt;&gt;"OK","",VLOOKUP('Case inputs'!E184,Benchmarks!$A$6:$C$164,3,FALSE))</f>
        <v/>
      </c>
      <c r="E184" s="11" t="str">
        <f>IF(C184&lt;&gt;"OK","",Assumptions!$B$5-'Case inputs'!D184)</f>
        <v/>
      </c>
      <c r="F184" s="15" t="str">
        <f>IF(C184&lt;&gt;"OK","",IF(B184="INITIAL",'Case inputs'!D184+Assumptions!$B$10,IF(B184="RECON",'Case inputs'!D184+Assumptions!$B$11,EDATE('Case inputs'!D184,INT(D184))+ROUND(MOD(D184,1)*30.44,0))))</f>
        <v/>
      </c>
      <c r="G184" s="11" t="str">
        <f>IF(C184&lt;&gt;"OK","",IF(AND(B184="HEARING",'Case inputs'!F184&lt;&gt;"",'Case inputs'!F184&gt;=Assumptions!$B$5),"SCHEDULED",IF('Case inputs'!G184&lt;&gt;"","REVIEWED OVERRIDE",IF(F184&lt;Assumptions!$B$5,"OVERDUE: FUTURE WINDOW","BENCHMARK SCENARIO"))))</f>
        <v/>
      </c>
      <c r="H184" s="15" t="str">
        <f>IF(C184&lt;&gt;"OK","",IF(G184="SCHEDULED",'Case inputs'!F184,IF('Case inputs'!G184&lt;&gt;"",'Case inputs'!G184,IF(F184&lt;Assumptions!$B$5,EDATE(Assumptions!$B$5,Assumptions!$B$17),F184))))</f>
        <v/>
      </c>
      <c r="I184" s="16" t="str">
        <f t="shared" si="10"/>
        <v/>
      </c>
      <c r="J184" s="15" t="str">
        <f>IF(C184&lt;&gt;"OK","",IF(B184="INITIAL",EDATE(I184,Assumptions!$B$12)+Assumptions!$B$11,IF(B184="RECON",H184,"")))</f>
        <v/>
      </c>
      <c r="K184" s="15" t="str">
        <f>IF(C184&lt;&gt;"OK","",IF(B184="HEARING",'Case inputs'!D184,EDATE(J184,Assumptions!$B$13)))</f>
        <v/>
      </c>
      <c r="L184" s="15" t="str">
        <f>IF(C184&lt;&gt;"OK","",IF(G184="SCHEDULED",H184,EDATE(IF(B184="HEARING",H184,EDATE(K184,INT(D184))+ROUND(MOD(D184,1)*30.44,0)),Assumptions!$B$18)))</f>
        <v/>
      </c>
      <c r="M184" s="15" t="str">
        <f>IF(C184&lt;&gt;"OK","",EDATE(L184,Assumptions!$B$15))</f>
        <v/>
      </c>
      <c r="N184" s="17" t="str">
        <f>IF(C184&lt;&gt;"OK","",IF(B184="INITIAL",Assumptions!$B$21,0))</f>
        <v/>
      </c>
      <c r="O184" s="17" t="str">
        <f>IF(C184&lt;&gt;"OK","",IF(B184="INITIAL",(1-Assumptions!$B$21)*Assumptions!$B$24*Assumptions!$B$22,IF(B184="RECON",Assumptions!$B$22,0)))</f>
        <v/>
      </c>
      <c r="P184" s="17" t="str">
        <f>IF(C184&lt;&gt;"OK","",IF(B184="INITIAL",(1-Assumptions!$B$21)*Assumptions!$B$24*(1-Assumptions!$B$22)*Assumptions!$B$25,IF(B184="RECON",(1-Assumptions!$B$22)*Assumptions!$B$25,1)))</f>
        <v/>
      </c>
      <c r="Q184" s="17" t="str">
        <f>IF(C184&lt;&gt;"OK","",IF(B184="INITIAL",(1-Assumptions!$B$21)*(1-Assumptions!$B$24),0))</f>
        <v/>
      </c>
      <c r="R184" s="17" t="str">
        <f>IF(C184&lt;&gt;"OK","",IF(B184="INITIAL",(1-Assumptions!$B$21)*Assumptions!$B$24*(1-Assumptions!$B$22)*(1-Assumptions!$B$25),IF(B184="RECON",(1-Assumptions!$B$22)*(1-Assumptions!$B$25),0)))</f>
        <v/>
      </c>
      <c r="S184" s="17" t="str">
        <f>IF(C184&lt;&gt;"OK","",P184*Assumptions!$B$23)</f>
        <v/>
      </c>
      <c r="T184" s="17" t="str">
        <f>IF(C184&lt;&gt;"OK","",P184*(1-Assumptions!$B$23))</f>
        <v/>
      </c>
      <c r="U184" s="18" t="str">
        <f t="shared" si="11"/>
        <v/>
      </c>
      <c r="V184" s="15" t="str">
        <f>IF(C184&lt;&gt;"OK","",IF(B184="INITIAL",EDATE(I184,Assumptions!$B$14),""))</f>
        <v/>
      </c>
      <c r="W184" s="15" t="str">
        <f>IF(C184&lt;&gt;"OK","",IF(B184="HEARING","",EDATE(J184,Assumptions!$B$14)))</f>
        <v/>
      </c>
      <c r="X184" s="15" t="str">
        <f>IF(C184&lt;&gt;"OK","",EDATE(M184,Assumptions!$B$16))</f>
        <v/>
      </c>
    </row>
    <row r="185" spans="1:24" ht="22" customHeight="1">
      <c r="A185" s="11" t="str">
        <f>IF('Case inputs'!A185="","",'Case inputs'!A185)</f>
        <v/>
      </c>
      <c r="B185" s="11" t="str">
        <f>IF(A185="","",'Case inputs'!C185)</f>
        <v/>
      </c>
      <c r="C185" s="11" t="str">
        <f>IF('Case inputs'!I185="","",IF(Assumptions!$B$38&lt;&gt;"OK","ASSUMPTIONS INVALID",'Case inputs'!I185))</f>
        <v/>
      </c>
      <c r="D185" s="11" t="str">
        <f>IF(C185&lt;&gt;"OK","",VLOOKUP('Case inputs'!E185,Benchmarks!$A$6:$C$164,3,FALSE))</f>
        <v/>
      </c>
      <c r="E185" s="11" t="str">
        <f>IF(C185&lt;&gt;"OK","",Assumptions!$B$5-'Case inputs'!D185)</f>
        <v/>
      </c>
      <c r="F185" s="15" t="str">
        <f>IF(C185&lt;&gt;"OK","",IF(B185="INITIAL",'Case inputs'!D185+Assumptions!$B$10,IF(B185="RECON",'Case inputs'!D185+Assumptions!$B$11,EDATE('Case inputs'!D185,INT(D185))+ROUND(MOD(D185,1)*30.44,0))))</f>
        <v/>
      </c>
      <c r="G185" s="11" t="str">
        <f>IF(C185&lt;&gt;"OK","",IF(AND(B185="HEARING",'Case inputs'!F185&lt;&gt;"",'Case inputs'!F185&gt;=Assumptions!$B$5),"SCHEDULED",IF('Case inputs'!G185&lt;&gt;"","REVIEWED OVERRIDE",IF(F185&lt;Assumptions!$B$5,"OVERDUE: FUTURE WINDOW","BENCHMARK SCENARIO"))))</f>
        <v/>
      </c>
      <c r="H185" s="15" t="str">
        <f>IF(C185&lt;&gt;"OK","",IF(G185="SCHEDULED",'Case inputs'!F185,IF('Case inputs'!G185&lt;&gt;"",'Case inputs'!G185,IF(F185&lt;Assumptions!$B$5,EDATE(Assumptions!$B$5,Assumptions!$B$17),F185))))</f>
        <v/>
      </c>
      <c r="I185" s="16" t="str">
        <f t="shared" si="10"/>
        <v/>
      </c>
      <c r="J185" s="15" t="str">
        <f>IF(C185&lt;&gt;"OK","",IF(B185="INITIAL",EDATE(I185,Assumptions!$B$12)+Assumptions!$B$11,IF(B185="RECON",H185,"")))</f>
        <v/>
      </c>
      <c r="K185" s="15" t="str">
        <f>IF(C185&lt;&gt;"OK","",IF(B185="HEARING",'Case inputs'!D185,EDATE(J185,Assumptions!$B$13)))</f>
        <v/>
      </c>
      <c r="L185" s="15" t="str">
        <f>IF(C185&lt;&gt;"OK","",IF(G185="SCHEDULED",H185,EDATE(IF(B185="HEARING",H185,EDATE(K185,INT(D185))+ROUND(MOD(D185,1)*30.44,0)),Assumptions!$B$18)))</f>
        <v/>
      </c>
      <c r="M185" s="15" t="str">
        <f>IF(C185&lt;&gt;"OK","",EDATE(L185,Assumptions!$B$15))</f>
        <v/>
      </c>
      <c r="N185" s="17" t="str">
        <f>IF(C185&lt;&gt;"OK","",IF(B185="INITIAL",Assumptions!$B$21,0))</f>
        <v/>
      </c>
      <c r="O185" s="17" t="str">
        <f>IF(C185&lt;&gt;"OK","",IF(B185="INITIAL",(1-Assumptions!$B$21)*Assumptions!$B$24*Assumptions!$B$22,IF(B185="RECON",Assumptions!$B$22,0)))</f>
        <v/>
      </c>
      <c r="P185" s="17" t="str">
        <f>IF(C185&lt;&gt;"OK","",IF(B185="INITIAL",(1-Assumptions!$B$21)*Assumptions!$B$24*(1-Assumptions!$B$22)*Assumptions!$B$25,IF(B185="RECON",(1-Assumptions!$B$22)*Assumptions!$B$25,1)))</f>
        <v/>
      </c>
      <c r="Q185" s="17" t="str">
        <f>IF(C185&lt;&gt;"OK","",IF(B185="INITIAL",(1-Assumptions!$B$21)*(1-Assumptions!$B$24),0))</f>
        <v/>
      </c>
      <c r="R185" s="17" t="str">
        <f>IF(C185&lt;&gt;"OK","",IF(B185="INITIAL",(1-Assumptions!$B$21)*Assumptions!$B$24*(1-Assumptions!$B$22)*(1-Assumptions!$B$25),IF(B185="RECON",(1-Assumptions!$B$22)*(1-Assumptions!$B$25),0)))</f>
        <v/>
      </c>
      <c r="S185" s="17" t="str">
        <f>IF(C185&lt;&gt;"OK","",P185*Assumptions!$B$23)</f>
        <v/>
      </c>
      <c r="T185" s="17" t="str">
        <f>IF(C185&lt;&gt;"OK","",P185*(1-Assumptions!$B$23))</f>
        <v/>
      </c>
      <c r="U185" s="18" t="str">
        <f t="shared" si="11"/>
        <v/>
      </c>
      <c r="V185" s="15" t="str">
        <f>IF(C185&lt;&gt;"OK","",IF(B185="INITIAL",EDATE(I185,Assumptions!$B$14),""))</f>
        <v/>
      </c>
      <c r="W185" s="15" t="str">
        <f>IF(C185&lt;&gt;"OK","",IF(B185="HEARING","",EDATE(J185,Assumptions!$B$14)))</f>
        <v/>
      </c>
      <c r="X185" s="15" t="str">
        <f>IF(C185&lt;&gt;"OK","",EDATE(M185,Assumptions!$B$16))</f>
        <v/>
      </c>
    </row>
    <row r="186" spans="1:24" ht="22" customHeight="1">
      <c r="A186" s="11" t="str">
        <f>IF('Case inputs'!A186="","",'Case inputs'!A186)</f>
        <v/>
      </c>
      <c r="B186" s="11" t="str">
        <f>IF(A186="","",'Case inputs'!C186)</f>
        <v/>
      </c>
      <c r="C186" s="11" t="str">
        <f>IF('Case inputs'!I186="","",IF(Assumptions!$B$38&lt;&gt;"OK","ASSUMPTIONS INVALID",'Case inputs'!I186))</f>
        <v/>
      </c>
      <c r="D186" s="11" t="str">
        <f>IF(C186&lt;&gt;"OK","",VLOOKUP('Case inputs'!E186,Benchmarks!$A$6:$C$164,3,FALSE))</f>
        <v/>
      </c>
      <c r="E186" s="11" t="str">
        <f>IF(C186&lt;&gt;"OK","",Assumptions!$B$5-'Case inputs'!D186)</f>
        <v/>
      </c>
      <c r="F186" s="15" t="str">
        <f>IF(C186&lt;&gt;"OK","",IF(B186="INITIAL",'Case inputs'!D186+Assumptions!$B$10,IF(B186="RECON",'Case inputs'!D186+Assumptions!$B$11,EDATE('Case inputs'!D186,INT(D186))+ROUND(MOD(D186,1)*30.44,0))))</f>
        <v/>
      </c>
      <c r="G186" s="11" t="str">
        <f>IF(C186&lt;&gt;"OK","",IF(AND(B186="HEARING",'Case inputs'!F186&lt;&gt;"",'Case inputs'!F186&gt;=Assumptions!$B$5),"SCHEDULED",IF('Case inputs'!G186&lt;&gt;"","REVIEWED OVERRIDE",IF(F186&lt;Assumptions!$B$5,"OVERDUE: FUTURE WINDOW","BENCHMARK SCENARIO"))))</f>
        <v/>
      </c>
      <c r="H186" s="15" t="str">
        <f>IF(C186&lt;&gt;"OK","",IF(G186="SCHEDULED",'Case inputs'!F186,IF('Case inputs'!G186&lt;&gt;"",'Case inputs'!G186,IF(F186&lt;Assumptions!$B$5,EDATE(Assumptions!$B$5,Assumptions!$B$17),F186))))</f>
        <v/>
      </c>
      <c r="I186" s="16" t="str">
        <f t="shared" si="10"/>
        <v/>
      </c>
      <c r="J186" s="15" t="str">
        <f>IF(C186&lt;&gt;"OK","",IF(B186="INITIAL",EDATE(I186,Assumptions!$B$12)+Assumptions!$B$11,IF(B186="RECON",H186,"")))</f>
        <v/>
      </c>
      <c r="K186" s="15" t="str">
        <f>IF(C186&lt;&gt;"OK","",IF(B186="HEARING",'Case inputs'!D186,EDATE(J186,Assumptions!$B$13)))</f>
        <v/>
      </c>
      <c r="L186" s="15" t="str">
        <f>IF(C186&lt;&gt;"OK","",IF(G186="SCHEDULED",H186,EDATE(IF(B186="HEARING",H186,EDATE(K186,INT(D186))+ROUND(MOD(D186,1)*30.44,0)),Assumptions!$B$18)))</f>
        <v/>
      </c>
      <c r="M186" s="15" t="str">
        <f>IF(C186&lt;&gt;"OK","",EDATE(L186,Assumptions!$B$15))</f>
        <v/>
      </c>
      <c r="N186" s="17" t="str">
        <f>IF(C186&lt;&gt;"OK","",IF(B186="INITIAL",Assumptions!$B$21,0))</f>
        <v/>
      </c>
      <c r="O186" s="17" t="str">
        <f>IF(C186&lt;&gt;"OK","",IF(B186="INITIAL",(1-Assumptions!$B$21)*Assumptions!$B$24*Assumptions!$B$22,IF(B186="RECON",Assumptions!$B$22,0)))</f>
        <v/>
      </c>
      <c r="P186" s="17" t="str">
        <f>IF(C186&lt;&gt;"OK","",IF(B186="INITIAL",(1-Assumptions!$B$21)*Assumptions!$B$24*(1-Assumptions!$B$22)*Assumptions!$B$25,IF(B186="RECON",(1-Assumptions!$B$22)*Assumptions!$B$25,1)))</f>
        <v/>
      </c>
      <c r="Q186" s="17" t="str">
        <f>IF(C186&lt;&gt;"OK","",IF(B186="INITIAL",(1-Assumptions!$B$21)*(1-Assumptions!$B$24),0))</f>
        <v/>
      </c>
      <c r="R186" s="17" t="str">
        <f>IF(C186&lt;&gt;"OK","",IF(B186="INITIAL",(1-Assumptions!$B$21)*Assumptions!$B$24*(1-Assumptions!$B$22)*(1-Assumptions!$B$25),IF(B186="RECON",(1-Assumptions!$B$22)*(1-Assumptions!$B$25),0)))</f>
        <v/>
      </c>
      <c r="S186" s="17" t="str">
        <f>IF(C186&lt;&gt;"OK","",P186*Assumptions!$B$23)</f>
        <v/>
      </c>
      <c r="T186" s="17" t="str">
        <f>IF(C186&lt;&gt;"OK","",P186*(1-Assumptions!$B$23))</f>
        <v/>
      </c>
      <c r="U186" s="18" t="str">
        <f t="shared" si="11"/>
        <v/>
      </c>
      <c r="V186" s="15" t="str">
        <f>IF(C186&lt;&gt;"OK","",IF(B186="INITIAL",EDATE(I186,Assumptions!$B$14),""))</f>
        <v/>
      </c>
      <c r="W186" s="15" t="str">
        <f>IF(C186&lt;&gt;"OK","",IF(B186="HEARING","",EDATE(J186,Assumptions!$B$14)))</f>
        <v/>
      </c>
      <c r="X186" s="15" t="str">
        <f>IF(C186&lt;&gt;"OK","",EDATE(M186,Assumptions!$B$16))</f>
        <v/>
      </c>
    </row>
    <row r="187" spans="1:24" ht="22" customHeight="1">
      <c r="A187" s="11" t="str">
        <f>IF('Case inputs'!A187="","",'Case inputs'!A187)</f>
        <v/>
      </c>
      <c r="B187" s="11" t="str">
        <f>IF(A187="","",'Case inputs'!C187)</f>
        <v/>
      </c>
      <c r="C187" s="11" t="str">
        <f>IF('Case inputs'!I187="","",IF(Assumptions!$B$38&lt;&gt;"OK","ASSUMPTIONS INVALID",'Case inputs'!I187))</f>
        <v/>
      </c>
      <c r="D187" s="11" t="str">
        <f>IF(C187&lt;&gt;"OK","",VLOOKUP('Case inputs'!E187,Benchmarks!$A$6:$C$164,3,FALSE))</f>
        <v/>
      </c>
      <c r="E187" s="11" t="str">
        <f>IF(C187&lt;&gt;"OK","",Assumptions!$B$5-'Case inputs'!D187)</f>
        <v/>
      </c>
      <c r="F187" s="15" t="str">
        <f>IF(C187&lt;&gt;"OK","",IF(B187="INITIAL",'Case inputs'!D187+Assumptions!$B$10,IF(B187="RECON",'Case inputs'!D187+Assumptions!$B$11,EDATE('Case inputs'!D187,INT(D187))+ROUND(MOD(D187,1)*30.44,0))))</f>
        <v/>
      </c>
      <c r="G187" s="11" t="str">
        <f>IF(C187&lt;&gt;"OK","",IF(AND(B187="HEARING",'Case inputs'!F187&lt;&gt;"",'Case inputs'!F187&gt;=Assumptions!$B$5),"SCHEDULED",IF('Case inputs'!G187&lt;&gt;"","REVIEWED OVERRIDE",IF(F187&lt;Assumptions!$B$5,"OVERDUE: FUTURE WINDOW","BENCHMARK SCENARIO"))))</f>
        <v/>
      </c>
      <c r="H187" s="15" t="str">
        <f>IF(C187&lt;&gt;"OK","",IF(G187="SCHEDULED",'Case inputs'!F187,IF('Case inputs'!G187&lt;&gt;"",'Case inputs'!G187,IF(F187&lt;Assumptions!$B$5,EDATE(Assumptions!$B$5,Assumptions!$B$17),F187))))</f>
        <v/>
      </c>
      <c r="I187" s="16" t="str">
        <f t="shared" si="10"/>
        <v/>
      </c>
      <c r="J187" s="15" t="str">
        <f>IF(C187&lt;&gt;"OK","",IF(B187="INITIAL",EDATE(I187,Assumptions!$B$12)+Assumptions!$B$11,IF(B187="RECON",H187,"")))</f>
        <v/>
      </c>
      <c r="K187" s="15" t="str">
        <f>IF(C187&lt;&gt;"OK","",IF(B187="HEARING",'Case inputs'!D187,EDATE(J187,Assumptions!$B$13)))</f>
        <v/>
      </c>
      <c r="L187" s="15" t="str">
        <f>IF(C187&lt;&gt;"OK","",IF(G187="SCHEDULED",H187,EDATE(IF(B187="HEARING",H187,EDATE(K187,INT(D187))+ROUND(MOD(D187,1)*30.44,0)),Assumptions!$B$18)))</f>
        <v/>
      </c>
      <c r="M187" s="15" t="str">
        <f>IF(C187&lt;&gt;"OK","",EDATE(L187,Assumptions!$B$15))</f>
        <v/>
      </c>
      <c r="N187" s="17" t="str">
        <f>IF(C187&lt;&gt;"OK","",IF(B187="INITIAL",Assumptions!$B$21,0))</f>
        <v/>
      </c>
      <c r="O187" s="17" t="str">
        <f>IF(C187&lt;&gt;"OK","",IF(B187="INITIAL",(1-Assumptions!$B$21)*Assumptions!$B$24*Assumptions!$B$22,IF(B187="RECON",Assumptions!$B$22,0)))</f>
        <v/>
      </c>
      <c r="P187" s="17" t="str">
        <f>IF(C187&lt;&gt;"OK","",IF(B187="INITIAL",(1-Assumptions!$B$21)*Assumptions!$B$24*(1-Assumptions!$B$22)*Assumptions!$B$25,IF(B187="RECON",(1-Assumptions!$B$22)*Assumptions!$B$25,1)))</f>
        <v/>
      </c>
      <c r="Q187" s="17" t="str">
        <f>IF(C187&lt;&gt;"OK","",IF(B187="INITIAL",(1-Assumptions!$B$21)*(1-Assumptions!$B$24),0))</f>
        <v/>
      </c>
      <c r="R187" s="17" t="str">
        <f>IF(C187&lt;&gt;"OK","",IF(B187="INITIAL",(1-Assumptions!$B$21)*Assumptions!$B$24*(1-Assumptions!$B$22)*(1-Assumptions!$B$25),IF(B187="RECON",(1-Assumptions!$B$22)*(1-Assumptions!$B$25),0)))</f>
        <v/>
      </c>
      <c r="S187" s="17" t="str">
        <f>IF(C187&lt;&gt;"OK","",P187*Assumptions!$B$23)</f>
        <v/>
      </c>
      <c r="T187" s="17" t="str">
        <f>IF(C187&lt;&gt;"OK","",P187*(1-Assumptions!$B$23))</f>
        <v/>
      </c>
      <c r="U187" s="18" t="str">
        <f t="shared" si="11"/>
        <v/>
      </c>
      <c r="V187" s="15" t="str">
        <f>IF(C187&lt;&gt;"OK","",IF(B187="INITIAL",EDATE(I187,Assumptions!$B$14),""))</f>
        <v/>
      </c>
      <c r="W187" s="15" t="str">
        <f>IF(C187&lt;&gt;"OK","",IF(B187="HEARING","",EDATE(J187,Assumptions!$B$14)))</f>
        <v/>
      </c>
      <c r="X187" s="15" t="str">
        <f>IF(C187&lt;&gt;"OK","",EDATE(M187,Assumptions!$B$16))</f>
        <v/>
      </c>
    </row>
    <row r="188" spans="1:24" ht="22" customHeight="1">
      <c r="A188" s="11" t="str">
        <f>IF('Case inputs'!A188="","",'Case inputs'!A188)</f>
        <v/>
      </c>
      <c r="B188" s="11" t="str">
        <f>IF(A188="","",'Case inputs'!C188)</f>
        <v/>
      </c>
      <c r="C188" s="11" t="str">
        <f>IF('Case inputs'!I188="","",IF(Assumptions!$B$38&lt;&gt;"OK","ASSUMPTIONS INVALID",'Case inputs'!I188))</f>
        <v/>
      </c>
      <c r="D188" s="11" t="str">
        <f>IF(C188&lt;&gt;"OK","",VLOOKUP('Case inputs'!E188,Benchmarks!$A$6:$C$164,3,FALSE))</f>
        <v/>
      </c>
      <c r="E188" s="11" t="str">
        <f>IF(C188&lt;&gt;"OK","",Assumptions!$B$5-'Case inputs'!D188)</f>
        <v/>
      </c>
      <c r="F188" s="15" t="str">
        <f>IF(C188&lt;&gt;"OK","",IF(B188="INITIAL",'Case inputs'!D188+Assumptions!$B$10,IF(B188="RECON",'Case inputs'!D188+Assumptions!$B$11,EDATE('Case inputs'!D188,INT(D188))+ROUND(MOD(D188,1)*30.44,0))))</f>
        <v/>
      </c>
      <c r="G188" s="11" t="str">
        <f>IF(C188&lt;&gt;"OK","",IF(AND(B188="HEARING",'Case inputs'!F188&lt;&gt;"",'Case inputs'!F188&gt;=Assumptions!$B$5),"SCHEDULED",IF('Case inputs'!G188&lt;&gt;"","REVIEWED OVERRIDE",IF(F188&lt;Assumptions!$B$5,"OVERDUE: FUTURE WINDOW","BENCHMARK SCENARIO"))))</f>
        <v/>
      </c>
      <c r="H188" s="15" t="str">
        <f>IF(C188&lt;&gt;"OK","",IF(G188="SCHEDULED",'Case inputs'!F188,IF('Case inputs'!G188&lt;&gt;"",'Case inputs'!G188,IF(F188&lt;Assumptions!$B$5,EDATE(Assumptions!$B$5,Assumptions!$B$17),F188))))</f>
        <v/>
      </c>
      <c r="I188" s="16" t="str">
        <f t="shared" si="10"/>
        <v/>
      </c>
      <c r="J188" s="15" t="str">
        <f>IF(C188&lt;&gt;"OK","",IF(B188="INITIAL",EDATE(I188,Assumptions!$B$12)+Assumptions!$B$11,IF(B188="RECON",H188,"")))</f>
        <v/>
      </c>
      <c r="K188" s="15" t="str">
        <f>IF(C188&lt;&gt;"OK","",IF(B188="HEARING",'Case inputs'!D188,EDATE(J188,Assumptions!$B$13)))</f>
        <v/>
      </c>
      <c r="L188" s="15" t="str">
        <f>IF(C188&lt;&gt;"OK","",IF(G188="SCHEDULED",H188,EDATE(IF(B188="HEARING",H188,EDATE(K188,INT(D188))+ROUND(MOD(D188,1)*30.44,0)),Assumptions!$B$18)))</f>
        <v/>
      </c>
      <c r="M188" s="15" t="str">
        <f>IF(C188&lt;&gt;"OK","",EDATE(L188,Assumptions!$B$15))</f>
        <v/>
      </c>
      <c r="N188" s="17" t="str">
        <f>IF(C188&lt;&gt;"OK","",IF(B188="INITIAL",Assumptions!$B$21,0))</f>
        <v/>
      </c>
      <c r="O188" s="17" t="str">
        <f>IF(C188&lt;&gt;"OK","",IF(B188="INITIAL",(1-Assumptions!$B$21)*Assumptions!$B$24*Assumptions!$B$22,IF(B188="RECON",Assumptions!$B$22,0)))</f>
        <v/>
      </c>
      <c r="P188" s="17" t="str">
        <f>IF(C188&lt;&gt;"OK","",IF(B188="INITIAL",(1-Assumptions!$B$21)*Assumptions!$B$24*(1-Assumptions!$B$22)*Assumptions!$B$25,IF(B188="RECON",(1-Assumptions!$B$22)*Assumptions!$B$25,1)))</f>
        <v/>
      </c>
      <c r="Q188" s="17" t="str">
        <f>IF(C188&lt;&gt;"OK","",IF(B188="INITIAL",(1-Assumptions!$B$21)*(1-Assumptions!$B$24),0))</f>
        <v/>
      </c>
      <c r="R188" s="17" t="str">
        <f>IF(C188&lt;&gt;"OK","",IF(B188="INITIAL",(1-Assumptions!$B$21)*Assumptions!$B$24*(1-Assumptions!$B$22)*(1-Assumptions!$B$25),IF(B188="RECON",(1-Assumptions!$B$22)*(1-Assumptions!$B$25),0)))</f>
        <v/>
      </c>
      <c r="S188" s="17" t="str">
        <f>IF(C188&lt;&gt;"OK","",P188*Assumptions!$B$23)</f>
        <v/>
      </c>
      <c r="T188" s="17" t="str">
        <f>IF(C188&lt;&gt;"OK","",P188*(1-Assumptions!$B$23))</f>
        <v/>
      </c>
      <c r="U188" s="18" t="str">
        <f t="shared" si="11"/>
        <v/>
      </c>
      <c r="V188" s="15" t="str">
        <f>IF(C188&lt;&gt;"OK","",IF(B188="INITIAL",EDATE(I188,Assumptions!$B$14),""))</f>
        <v/>
      </c>
      <c r="W188" s="15" t="str">
        <f>IF(C188&lt;&gt;"OK","",IF(B188="HEARING","",EDATE(J188,Assumptions!$B$14)))</f>
        <v/>
      </c>
      <c r="X188" s="15" t="str">
        <f>IF(C188&lt;&gt;"OK","",EDATE(M188,Assumptions!$B$16))</f>
        <v/>
      </c>
    </row>
    <row r="189" spans="1:24" ht="22" customHeight="1">
      <c r="A189" s="11" t="str">
        <f>IF('Case inputs'!A189="","",'Case inputs'!A189)</f>
        <v/>
      </c>
      <c r="B189" s="11" t="str">
        <f>IF(A189="","",'Case inputs'!C189)</f>
        <v/>
      </c>
      <c r="C189" s="11" t="str">
        <f>IF('Case inputs'!I189="","",IF(Assumptions!$B$38&lt;&gt;"OK","ASSUMPTIONS INVALID",'Case inputs'!I189))</f>
        <v/>
      </c>
      <c r="D189" s="11" t="str">
        <f>IF(C189&lt;&gt;"OK","",VLOOKUP('Case inputs'!E189,Benchmarks!$A$6:$C$164,3,FALSE))</f>
        <v/>
      </c>
      <c r="E189" s="11" t="str">
        <f>IF(C189&lt;&gt;"OK","",Assumptions!$B$5-'Case inputs'!D189)</f>
        <v/>
      </c>
      <c r="F189" s="15" t="str">
        <f>IF(C189&lt;&gt;"OK","",IF(B189="INITIAL",'Case inputs'!D189+Assumptions!$B$10,IF(B189="RECON",'Case inputs'!D189+Assumptions!$B$11,EDATE('Case inputs'!D189,INT(D189))+ROUND(MOD(D189,1)*30.44,0))))</f>
        <v/>
      </c>
      <c r="G189" s="11" t="str">
        <f>IF(C189&lt;&gt;"OK","",IF(AND(B189="HEARING",'Case inputs'!F189&lt;&gt;"",'Case inputs'!F189&gt;=Assumptions!$B$5),"SCHEDULED",IF('Case inputs'!G189&lt;&gt;"","REVIEWED OVERRIDE",IF(F189&lt;Assumptions!$B$5,"OVERDUE: FUTURE WINDOW","BENCHMARK SCENARIO"))))</f>
        <v/>
      </c>
      <c r="H189" s="15" t="str">
        <f>IF(C189&lt;&gt;"OK","",IF(G189="SCHEDULED",'Case inputs'!F189,IF('Case inputs'!G189&lt;&gt;"",'Case inputs'!G189,IF(F189&lt;Assumptions!$B$5,EDATE(Assumptions!$B$5,Assumptions!$B$17),F189))))</f>
        <v/>
      </c>
      <c r="I189" s="16" t="str">
        <f t="shared" si="10"/>
        <v/>
      </c>
      <c r="J189" s="15" t="str">
        <f>IF(C189&lt;&gt;"OK","",IF(B189="INITIAL",EDATE(I189,Assumptions!$B$12)+Assumptions!$B$11,IF(B189="RECON",H189,"")))</f>
        <v/>
      </c>
      <c r="K189" s="15" t="str">
        <f>IF(C189&lt;&gt;"OK","",IF(B189="HEARING",'Case inputs'!D189,EDATE(J189,Assumptions!$B$13)))</f>
        <v/>
      </c>
      <c r="L189" s="15" t="str">
        <f>IF(C189&lt;&gt;"OK","",IF(G189="SCHEDULED",H189,EDATE(IF(B189="HEARING",H189,EDATE(K189,INT(D189))+ROUND(MOD(D189,1)*30.44,0)),Assumptions!$B$18)))</f>
        <v/>
      </c>
      <c r="M189" s="15" t="str">
        <f>IF(C189&lt;&gt;"OK","",EDATE(L189,Assumptions!$B$15))</f>
        <v/>
      </c>
      <c r="N189" s="17" t="str">
        <f>IF(C189&lt;&gt;"OK","",IF(B189="INITIAL",Assumptions!$B$21,0))</f>
        <v/>
      </c>
      <c r="O189" s="17" t="str">
        <f>IF(C189&lt;&gt;"OK","",IF(B189="INITIAL",(1-Assumptions!$B$21)*Assumptions!$B$24*Assumptions!$B$22,IF(B189="RECON",Assumptions!$B$22,0)))</f>
        <v/>
      </c>
      <c r="P189" s="17" t="str">
        <f>IF(C189&lt;&gt;"OK","",IF(B189="INITIAL",(1-Assumptions!$B$21)*Assumptions!$B$24*(1-Assumptions!$B$22)*Assumptions!$B$25,IF(B189="RECON",(1-Assumptions!$B$22)*Assumptions!$B$25,1)))</f>
        <v/>
      </c>
      <c r="Q189" s="17" t="str">
        <f>IF(C189&lt;&gt;"OK","",IF(B189="INITIAL",(1-Assumptions!$B$21)*(1-Assumptions!$B$24),0))</f>
        <v/>
      </c>
      <c r="R189" s="17" t="str">
        <f>IF(C189&lt;&gt;"OK","",IF(B189="INITIAL",(1-Assumptions!$B$21)*Assumptions!$B$24*(1-Assumptions!$B$22)*(1-Assumptions!$B$25),IF(B189="RECON",(1-Assumptions!$B$22)*(1-Assumptions!$B$25),0)))</f>
        <v/>
      </c>
      <c r="S189" s="17" t="str">
        <f>IF(C189&lt;&gt;"OK","",P189*Assumptions!$B$23)</f>
        <v/>
      </c>
      <c r="T189" s="17" t="str">
        <f>IF(C189&lt;&gt;"OK","",P189*(1-Assumptions!$B$23))</f>
        <v/>
      </c>
      <c r="U189" s="18" t="str">
        <f t="shared" si="11"/>
        <v/>
      </c>
      <c r="V189" s="15" t="str">
        <f>IF(C189&lt;&gt;"OK","",IF(B189="INITIAL",EDATE(I189,Assumptions!$B$14),""))</f>
        <v/>
      </c>
      <c r="W189" s="15" t="str">
        <f>IF(C189&lt;&gt;"OK","",IF(B189="HEARING","",EDATE(J189,Assumptions!$B$14)))</f>
        <v/>
      </c>
      <c r="X189" s="15" t="str">
        <f>IF(C189&lt;&gt;"OK","",EDATE(M189,Assumptions!$B$16))</f>
        <v/>
      </c>
    </row>
    <row r="190" spans="1:24" ht="22" customHeight="1">
      <c r="A190" s="11" t="str">
        <f>IF('Case inputs'!A190="","",'Case inputs'!A190)</f>
        <v/>
      </c>
      <c r="B190" s="11" t="str">
        <f>IF(A190="","",'Case inputs'!C190)</f>
        <v/>
      </c>
      <c r="C190" s="11" t="str">
        <f>IF('Case inputs'!I190="","",IF(Assumptions!$B$38&lt;&gt;"OK","ASSUMPTIONS INVALID",'Case inputs'!I190))</f>
        <v/>
      </c>
      <c r="D190" s="11" t="str">
        <f>IF(C190&lt;&gt;"OK","",VLOOKUP('Case inputs'!E190,Benchmarks!$A$6:$C$164,3,FALSE))</f>
        <v/>
      </c>
      <c r="E190" s="11" t="str">
        <f>IF(C190&lt;&gt;"OK","",Assumptions!$B$5-'Case inputs'!D190)</f>
        <v/>
      </c>
      <c r="F190" s="15" t="str">
        <f>IF(C190&lt;&gt;"OK","",IF(B190="INITIAL",'Case inputs'!D190+Assumptions!$B$10,IF(B190="RECON",'Case inputs'!D190+Assumptions!$B$11,EDATE('Case inputs'!D190,INT(D190))+ROUND(MOD(D190,1)*30.44,0))))</f>
        <v/>
      </c>
      <c r="G190" s="11" t="str">
        <f>IF(C190&lt;&gt;"OK","",IF(AND(B190="HEARING",'Case inputs'!F190&lt;&gt;"",'Case inputs'!F190&gt;=Assumptions!$B$5),"SCHEDULED",IF('Case inputs'!G190&lt;&gt;"","REVIEWED OVERRIDE",IF(F190&lt;Assumptions!$B$5,"OVERDUE: FUTURE WINDOW","BENCHMARK SCENARIO"))))</f>
        <v/>
      </c>
      <c r="H190" s="15" t="str">
        <f>IF(C190&lt;&gt;"OK","",IF(G190="SCHEDULED",'Case inputs'!F190,IF('Case inputs'!G190&lt;&gt;"",'Case inputs'!G190,IF(F190&lt;Assumptions!$B$5,EDATE(Assumptions!$B$5,Assumptions!$B$17),F190))))</f>
        <v/>
      </c>
      <c r="I190" s="16" t="str">
        <f t="shared" si="10"/>
        <v/>
      </c>
      <c r="J190" s="15" t="str">
        <f>IF(C190&lt;&gt;"OK","",IF(B190="INITIAL",EDATE(I190,Assumptions!$B$12)+Assumptions!$B$11,IF(B190="RECON",H190,"")))</f>
        <v/>
      </c>
      <c r="K190" s="15" t="str">
        <f>IF(C190&lt;&gt;"OK","",IF(B190="HEARING",'Case inputs'!D190,EDATE(J190,Assumptions!$B$13)))</f>
        <v/>
      </c>
      <c r="L190" s="15" t="str">
        <f>IF(C190&lt;&gt;"OK","",IF(G190="SCHEDULED",H190,EDATE(IF(B190="HEARING",H190,EDATE(K190,INT(D190))+ROUND(MOD(D190,1)*30.44,0)),Assumptions!$B$18)))</f>
        <v/>
      </c>
      <c r="M190" s="15" t="str">
        <f>IF(C190&lt;&gt;"OK","",EDATE(L190,Assumptions!$B$15))</f>
        <v/>
      </c>
      <c r="N190" s="17" t="str">
        <f>IF(C190&lt;&gt;"OK","",IF(B190="INITIAL",Assumptions!$B$21,0))</f>
        <v/>
      </c>
      <c r="O190" s="17" t="str">
        <f>IF(C190&lt;&gt;"OK","",IF(B190="INITIAL",(1-Assumptions!$B$21)*Assumptions!$B$24*Assumptions!$B$22,IF(B190="RECON",Assumptions!$B$22,0)))</f>
        <v/>
      </c>
      <c r="P190" s="17" t="str">
        <f>IF(C190&lt;&gt;"OK","",IF(B190="INITIAL",(1-Assumptions!$B$21)*Assumptions!$B$24*(1-Assumptions!$B$22)*Assumptions!$B$25,IF(B190="RECON",(1-Assumptions!$B$22)*Assumptions!$B$25,1)))</f>
        <v/>
      </c>
      <c r="Q190" s="17" t="str">
        <f>IF(C190&lt;&gt;"OK","",IF(B190="INITIAL",(1-Assumptions!$B$21)*(1-Assumptions!$B$24),0))</f>
        <v/>
      </c>
      <c r="R190" s="17" t="str">
        <f>IF(C190&lt;&gt;"OK","",IF(B190="INITIAL",(1-Assumptions!$B$21)*Assumptions!$B$24*(1-Assumptions!$B$22)*(1-Assumptions!$B$25),IF(B190="RECON",(1-Assumptions!$B$22)*(1-Assumptions!$B$25),0)))</f>
        <v/>
      </c>
      <c r="S190" s="17" t="str">
        <f>IF(C190&lt;&gt;"OK","",P190*Assumptions!$B$23)</f>
        <v/>
      </c>
      <c r="T190" s="17" t="str">
        <f>IF(C190&lt;&gt;"OK","",P190*(1-Assumptions!$B$23))</f>
        <v/>
      </c>
      <c r="U190" s="18" t="str">
        <f t="shared" si="11"/>
        <v/>
      </c>
      <c r="V190" s="15" t="str">
        <f>IF(C190&lt;&gt;"OK","",IF(B190="INITIAL",EDATE(I190,Assumptions!$B$14),""))</f>
        <v/>
      </c>
      <c r="W190" s="15" t="str">
        <f>IF(C190&lt;&gt;"OK","",IF(B190="HEARING","",EDATE(J190,Assumptions!$B$14)))</f>
        <v/>
      </c>
      <c r="X190" s="15" t="str">
        <f>IF(C190&lt;&gt;"OK","",EDATE(M190,Assumptions!$B$16))</f>
        <v/>
      </c>
    </row>
    <row r="191" spans="1:24" ht="22" customHeight="1">
      <c r="A191" s="11" t="str">
        <f>IF('Case inputs'!A191="","",'Case inputs'!A191)</f>
        <v/>
      </c>
      <c r="B191" s="11" t="str">
        <f>IF(A191="","",'Case inputs'!C191)</f>
        <v/>
      </c>
      <c r="C191" s="11" t="str">
        <f>IF('Case inputs'!I191="","",IF(Assumptions!$B$38&lt;&gt;"OK","ASSUMPTIONS INVALID",'Case inputs'!I191))</f>
        <v/>
      </c>
      <c r="D191" s="11" t="str">
        <f>IF(C191&lt;&gt;"OK","",VLOOKUP('Case inputs'!E191,Benchmarks!$A$6:$C$164,3,FALSE))</f>
        <v/>
      </c>
      <c r="E191" s="11" t="str">
        <f>IF(C191&lt;&gt;"OK","",Assumptions!$B$5-'Case inputs'!D191)</f>
        <v/>
      </c>
      <c r="F191" s="15" t="str">
        <f>IF(C191&lt;&gt;"OK","",IF(B191="INITIAL",'Case inputs'!D191+Assumptions!$B$10,IF(B191="RECON",'Case inputs'!D191+Assumptions!$B$11,EDATE('Case inputs'!D191,INT(D191))+ROUND(MOD(D191,1)*30.44,0))))</f>
        <v/>
      </c>
      <c r="G191" s="11" t="str">
        <f>IF(C191&lt;&gt;"OK","",IF(AND(B191="HEARING",'Case inputs'!F191&lt;&gt;"",'Case inputs'!F191&gt;=Assumptions!$B$5),"SCHEDULED",IF('Case inputs'!G191&lt;&gt;"","REVIEWED OVERRIDE",IF(F191&lt;Assumptions!$B$5,"OVERDUE: FUTURE WINDOW","BENCHMARK SCENARIO"))))</f>
        <v/>
      </c>
      <c r="H191" s="15" t="str">
        <f>IF(C191&lt;&gt;"OK","",IF(G191="SCHEDULED",'Case inputs'!F191,IF('Case inputs'!G191&lt;&gt;"",'Case inputs'!G191,IF(F191&lt;Assumptions!$B$5,EDATE(Assumptions!$B$5,Assumptions!$B$17),F191))))</f>
        <v/>
      </c>
      <c r="I191" s="16" t="str">
        <f t="shared" si="10"/>
        <v/>
      </c>
      <c r="J191" s="15" t="str">
        <f>IF(C191&lt;&gt;"OK","",IF(B191="INITIAL",EDATE(I191,Assumptions!$B$12)+Assumptions!$B$11,IF(B191="RECON",H191,"")))</f>
        <v/>
      </c>
      <c r="K191" s="15" t="str">
        <f>IF(C191&lt;&gt;"OK","",IF(B191="HEARING",'Case inputs'!D191,EDATE(J191,Assumptions!$B$13)))</f>
        <v/>
      </c>
      <c r="L191" s="15" t="str">
        <f>IF(C191&lt;&gt;"OK","",IF(G191="SCHEDULED",H191,EDATE(IF(B191="HEARING",H191,EDATE(K191,INT(D191))+ROUND(MOD(D191,1)*30.44,0)),Assumptions!$B$18)))</f>
        <v/>
      </c>
      <c r="M191" s="15" t="str">
        <f>IF(C191&lt;&gt;"OK","",EDATE(L191,Assumptions!$B$15))</f>
        <v/>
      </c>
      <c r="N191" s="17" t="str">
        <f>IF(C191&lt;&gt;"OK","",IF(B191="INITIAL",Assumptions!$B$21,0))</f>
        <v/>
      </c>
      <c r="O191" s="17" t="str">
        <f>IF(C191&lt;&gt;"OK","",IF(B191="INITIAL",(1-Assumptions!$B$21)*Assumptions!$B$24*Assumptions!$B$22,IF(B191="RECON",Assumptions!$B$22,0)))</f>
        <v/>
      </c>
      <c r="P191" s="17" t="str">
        <f>IF(C191&lt;&gt;"OK","",IF(B191="INITIAL",(1-Assumptions!$B$21)*Assumptions!$B$24*(1-Assumptions!$B$22)*Assumptions!$B$25,IF(B191="RECON",(1-Assumptions!$B$22)*Assumptions!$B$25,1)))</f>
        <v/>
      </c>
      <c r="Q191" s="17" t="str">
        <f>IF(C191&lt;&gt;"OK","",IF(B191="INITIAL",(1-Assumptions!$B$21)*(1-Assumptions!$B$24),0))</f>
        <v/>
      </c>
      <c r="R191" s="17" t="str">
        <f>IF(C191&lt;&gt;"OK","",IF(B191="INITIAL",(1-Assumptions!$B$21)*Assumptions!$B$24*(1-Assumptions!$B$22)*(1-Assumptions!$B$25),IF(B191="RECON",(1-Assumptions!$B$22)*(1-Assumptions!$B$25),0)))</f>
        <v/>
      </c>
      <c r="S191" s="17" t="str">
        <f>IF(C191&lt;&gt;"OK","",P191*Assumptions!$B$23)</f>
        <v/>
      </c>
      <c r="T191" s="17" t="str">
        <f>IF(C191&lt;&gt;"OK","",P191*(1-Assumptions!$B$23))</f>
        <v/>
      </c>
      <c r="U191" s="18" t="str">
        <f t="shared" si="11"/>
        <v/>
      </c>
      <c r="V191" s="15" t="str">
        <f>IF(C191&lt;&gt;"OK","",IF(B191="INITIAL",EDATE(I191,Assumptions!$B$14),""))</f>
        <v/>
      </c>
      <c r="W191" s="15" t="str">
        <f>IF(C191&lt;&gt;"OK","",IF(B191="HEARING","",EDATE(J191,Assumptions!$B$14)))</f>
        <v/>
      </c>
      <c r="X191" s="15" t="str">
        <f>IF(C191&lt;&gt;"OK","",EDATE(M191,Assumptions!$B$16))</f>
        <v/>
      </c>
    </row>
    <row r="192" spans="1:24" ht="22" customHeight="1">
      <c r="A192" s="11" t="str">
        <f>IF('Case inputs'!A192="","",'Case inputs'!A192)</f>
        <v/>
      </c>
      <c r="B192" s="11" t="str">
        <f>IF(A192="","",'Case inputs'!C192)</f>
        <v/>
      </c>
      <c r="C192" s="11" t="str">
        <f>IF('Case inputs'!I192="","",IF(Assumptions!$B$38&lt;&gt;"OK","ASSUMPTIONS INVALID",'Case inputs'!I192))</f>
        <v/>
      </c>
      <c r="D192" s="11" t="str">
        <f>IF(C192&lt;&gt;"OK","",VLOOKUP('Case inputs'!E192,Benchmarks!$A$6:$C$164,3,FALSE))</f>
        <v/>
      </c>
      <c r="E192" s="11" t="str">
        <f>IF(C192&lt;&gt;"OK","",Assumptions!$B$5-'Case inputs'!D192)</f>
        <v/>
      </c>
      <c r="F192" s="15" t="str">
        <f>IF(C192&lt;&gt;"OK","",IF(B192="INITIAL",'Case inputs'!D192+Assumptions!$B$10,IF(B192="RECON",'Case inputs'!D192+Assumptions!$B$11,EDATE('Case inputs'!D192,INT(D192))+ROUND(MOD(D192,1)*30.44,0))))</f>
        <v/>
      </c>
      <c r="G192" s="11" t="str">
        <f>IF(C192&lt;&gt;"OK","",IF(AND(B192="HEARING",'Case inputs'!F192&lt;&gt;"",'Case inputs'!F192&gt;=Assumptions!$B$5),"SCHEDULED",IF('Case inputs'!G192&lt;&gt;"","REVIEWED OVERRIDE",IF(F192&lt;Assumptions!$B$5,"OVERDUE: FUTURE WINDOW","BENCHMARK SCENARIO"))))</f>
        <v/>
      </c>
      <c r="H192" s="15" t="str">
        <f>IF(C192&lt;&gt;"OK","",IF(G192="SCHEDULED",'Case inputs'!F192,IF('Case inputs'!G192&lt;&gt;"",'Case inputs'!G192,IF(F192&lt;Assumptions!$B$5,EDATE(Assumptions!$B$5,Assumptions!$B$17),F192))))</f>
        <v/>
      </c>
      <c r="I192" s="16" t="str">
        <f t="shared" si="10"/>
        <v/>
      </c>
      <c r="J192" s="15" t="str">
        <f>IF(C192&lt;&gt;"OK","",IF(B192="INITIAL",EDATE(I192,Assumptions!$B$12)+Assumptions!$B$11,IF(B192="RECON",H192,"")))</f>
        <v/>
      </c>
      <c r="K192" s="15" t="str">
        <f>IF(C192&lt;&gt;"OK","",IF(B192="HEARING",'Case inputs'!D192,EDATE(J192,Assumptions!$B$13)))</f>
        <v/>
      </c>
      <c r="L192" s="15" t="str">
        <f>IF(C192&lt;&gt;"OK","",IF(G192="SCHEDULED",H192,EDATE(IF(B192="HEARING",H192,EDATE(K192,INT(D192))+ROUND(MOD(D192,1)*30.44,0)),Assumptions!$B$18)))</f>
        <v/>
      </c>
      <c r="M192" s="15" t="str">
        <f>IF(C192&lt;&gt;"OK","",EDATE(L192,Assumptions!$B$15))</f>
        <v/>
      </c>
      <c r="N192" s="17" t="str">
        <f>IF(C192&lt;&gt;"OK","",IF(B192="INITIAL",Assumptions!$B$21,0))</f>
        <v/>
      </c>
      <c r="O192" s="17" t="str">
        <f>IF(C192&lt;&gt;"OK","",IF(B192="INITIAL",(1-Assumptions!$B$21)*Assumptions!$B$24*Assumptions!$B$22,IF(B192="RECON",Assumptions!$B$22,0)))</f>
        <v/>
      </c>
      <c r="P192" s="17" t="str">
        <f>IF(C192&lt;&gt;"OK","",IF(B192="INITIAL",(1-Assumptions!$B$21)*Assumptions!$B$24*(1-Assumptions!$B$22)*Assumptions!$B$25,IF(B192="RECON",(1-Assumptions!$B$22)*Assumptions!$B$25,1)))</f>
        <v/>
      </c>
      <c r="Q192" s="17" t="str">
        <f>IF(C192&lt;&gt;"OK","",IF(B192="INITIAL",(1-Assumptions!$B$21)*(1-Assumptions!$B$24),0))</f>
        <v/>
      </c>
      <c r="R192" s="17" t="str">
        <f>IF(C192&lt;&gt;"OK","",IF(B192="INITIAL",(1-Assumptions!$B$21)*Assumptions!$B$24*(1-Assumptions!$B$22)*(1-Assumptions!$B$25),IF(B192="RECON",(1-Assumptions!$B$22)*(1-Assumptions!$B$25),0)))</f>
        <v/>
      </c>
      <c r="S192" s="17" t="str">
        <f>IF(C192&lt;&gt;"OK","",P192*Assumptions!$B$23)</f>
        <v/>
      </c>
      <c r="T192" s="17" t="str">
        <f>IF(C192&lt;&gt;"OK","",P192*(1-Assumptions!$B$23))</f>
        <v/>
      </c>
      <c r="U192" s="18" t="str">
        <f t="shared" si="11"/>
        <v/>
      </c>
      <c r="V192" s="15" t="str">
        <f>IF(C192&lt;&gt;"OK","",IF(B192="INITIAL",EDATE(I192,Assumptions!$B$14),""))</f>
        <v/>
      </c>
      <c r="W192" s="15" t="str">
        <f>IF(C192&lt;&gt;"OK","",IF(B192="HEARING","",EDATE(J192,Assumptions!$B$14)))</f>
        <v/>
      </c>
      <c r="X192" s="15" t="str">
        <f>IF(C192&lt;&gt;"OK","",EDATE(M192,Assumptions!$B$16))</f>
        <v/>
      </c>
    </row>
    <row r="193" spans="1:24" ht="22" customHeight="1">
      <c r="A193" s="11" t="str">
        <f>IF('Case inputs'!A193="","",'Case inputs'!A193)</f>
        <v/>
      </c>
      <c r="B193" s="11" t="str">
        <f>IF(A193="","",'Case inputs'!C193)</f>
        <v/>
      </c>
      <c r="C193" s="11" t="str">
        <f>IF('Case inputs'!I193="","",IF(Assumptions!$B$38&lt;&gt;"OK","ASSUMPTIONS INVALID",'Case inputs'!I193))</f>
        <v/>
      </c>
      <c r="D193" s="11" t="str">
        <f>IF(C193&lt;&gt;"OK","",VLOOKUP('Case inputs'!E193,Benchmarks!$A$6:$C$164,3,FALSE))</f>
        <v/>
      </c>
      <c r="E193" s="11" t="str">
        <f>IF(C193&lt;&gt;"OK","",Assumptions!$B$5-'Case inputs'!D193)</f>
        <v/>
      </c>
      <c r="F193" s="15" t="str">
        <f>IF(C193&lt;&gt;"OK","",IF(B193="INITIAL",'Case inputs'!D193+Assumptions!$B$10,IF(B193="RECON",'Case inputs'!D193+Assumptions!$B$11,EDATE('Case inputs'!D193,INT(D193))+ROUND(MOD(D193,1)*30.44,0))))</f>
        <v/>
      </c>
      <c r="G193" s="11" t="str">
        <f>IF(C193&lt;&gt;"OK","",IF(AND(B193="HEARING",'Case inputs'!F193&lt;&gt;"",'Case inputs'!F193&gt;=Assumptions!$B$5),"SCHEDULED",IF('Case inputs'!G193&lt;&gt;"","REVIEWED OVERRIDE",IF(F193&lt;Assumptions!$B$5,"OVERDUE: FUTURE WINDOW","BENCHMARK SCENARIO"))))</f>
        <v/>
      </c>
      <c r="H193" s="15" t="str">
        <f>IF(C193&lt;&gt;"OK","",IF(G193="SCHEDULED",'Case inputs'!F193,IF('Case inputs'!G193&lt;&gt;"",'Case inputs'!G193,IF(F193&lt;Assumptions!$B$5,EDATE(Assumptions!$B$5,Assumptions!$B$17),F193))))</f>
        <v/>
      </c>
      <c r="I193" s="16" t="str">
        <f t="shared" si="10"/>
        <v/>
      </c>
      <c r="J193" s="15" t="str">
        <f>IF(C193&lt;&gt;"OK","",IF(B193="INITIAL",EDATE(I193,Assumptions!$B$12)+Assumptions!$B$11,IF(B193="RECON",H193,"")))</f>
        <v/>
      </c>
      <c r="K193" s="15" t="str">
        <f>IF(C193&lt;&gt;"OK","",IF(B193="HEARING",'Case inputs'!D193,EDATE(J193,Assumptions!$B$13)))</f>
        <v/>
      </c>
      <c r="L193" s="15" t="str">
        <f>IF(C193&lt;&gt;"OK","",IF(G193="SCHEDULED",H193,EDATE(IF(B193="HEARING",H193,EDATE(K193,INT(D193))+ROUND(MOD(D193,1)*30.44,0)),Assumptions!$B$18)))</f>
        <v/>
      </c>
      <c r="M193" s="15" t="str">
        <f>IF(C193&lt;&gt;"OK","",EDATE(L193,Assumptions!$B$15))</f>
        <v/>
      </c>
      <c r="N193" s="17" t="str">
        <f>IF(C193&lt;&gt;"OK","",IF(B193="INITIAL",Assumptions!$B$21,0))</f>
        <v/>
      </c>
      <c r="O193" s="17" t="str">
        <f>IF(C193&lt;&gt;"OK","",IF(B193="INITIAL",(1-Assumptions!$B$21)*Assumptions!$B$24*Assumptions!$B$22,IF(B193="RECON",Assumptions!$B$22,0)))</f>
        <v/>
      </c>
      <c r="P193" s="17" t="str">
        <f>IF(C193&lt;&gt;"OK","",IF(B193="INITIAL",(1-Assumptions!$B$21)*Assumptions!$B$24*(1-Assumptions!$B$22)*Assumptions!$B$25,IF(B193="RECON",(1-Assumptions!$B$22)*Assumptions!$B$25,1)))</f>
        <v/>
      </c>
      <c r="Q193" s="17" t="str">
        <f>IF(C193&lt;&gt;"OK","",IF(B193="INITIAL",(1-Assumptions!$B$21)*(1-Assumptions!$B$24),0))</f>
        <v/>
      </c>
      <c r="R193" s="17" t="str">
        <f>IF(C193&lt;&gt;"OK","",IF(B193="INITIAL",(1-Assumptions!$B$21)*Assumptions!$B$24*(1-Assumptions!$B$22)*(1-Assumptions!$B$25),IF(B193="RECON",(1-Assumptions!$B$22)*(1-Assumptions!$B$25),0)))</f>
        <v/>
      </c>
      <c r="S193" s="17" t="str">
        <f>IF(C193&lt;&gt;"OK","",P193*Assumptions!$B$23)</f>
        <v/>
      </c>
      <c r="T193" s="17" t="str">
        <f>IF(C193&lt;&gt;"OK","",P193*(1-Assumptions!$B$23))</f>
        <v/>
      </c>
      <c r="U193" s="18" t="str">
        <f t="shared" si="11"/>
        <v/>
      </c>
      <c r="V193" s="15" t="str">
        <f>IF(C193&lt;&gt;"OK","",IF(B193="INITIAL",EDATE(I193,Assumptions!$B$14),""))</f>
        <v/>
      </c>
      <c r="W193" s="15" t="str">
        <f>IF(C193&lt;&gt;"OK","",IF(B193="HEARING","",EDATE(J193,Assumptions!$B$14)))</f>
        <v/>
      </c>
      <c r="X193" s="15" t="str">
        <f>IF(C193&lt;&gt;"OK","",EDATE(M193,Assumptions!$B$16))</f>
        <v/>
      </c>
    </row>
    <row r="194" spans="1:24" ht="22" customHeight="1">
      <c r="A194" s="11" t="str">
        <f>IF('Case inputs'!A194="","",'Case inputs'!A194)</f>
        <v/>
      </c>
      <c r="B194" s="11" t="str">
        <f>IF(A194="","",'Case inputs'!C194)</f>
        <v/>
      </c>
      <c r="C194" s="11" t="str">
        <f>IF('Case inputs'!I194="","",IF(Assumptions!$B$38&lt;&gt;"OK","ASSUMPTIONS INVALID",'Case inputs'!I194))</f>
        <v/>
      </c>
      <c r="D194" s="11" t="str">
        <f>IF(C194&lt;&gt;"OK","",VLOOKUP('Case inputs'!E194,Benchmarks!$A$6:$C$164,3,FALSE))</f>
        <v/>
      </c>
      <c r="E194" s="11" t="str">
        <f>IF(C194&lt;&gt;"OK","",Assumptions!$B$5-'Case inputs'!D194)</f>
        <v/>
      </c>
      <c r="F194" s="15" t="str">
        <f>IF(C194&lt;&gt;"OK","",IF(B194="INITIAL",'Case inputs'!D194+Assumptions!$B$10,IF(B194="RECON",'Case inputs'!D194+Assumptions!$B$11,EDATE('Case inputs'!D194,INT(D194))+ROUND(MOD(D194,1)*30.44,0))))</f>
        <v/>
      </c>
      <c r="G194" s="11" t="str">
        <f>IF(C194&lt;&gt;"OK","",IF(AND(B194="HEARING",'Case inputs'!F194&lt;&gt;"",'Case inputs'!F194&gt;=Assumptions!$B$5),"SCHEDULED",IF('Case inputs'!G194&lt;&gt;"","REVIEWED OVERRIDE",IF(F194&lt;Assumptions!$B$5,"OVERDUE: FUTURE WINDOW","BENCHMARK SCENARIO"))))</f>
        <v/>
      </c>
      <c r="H194" s="15" t="str">
        <f>IF(C194&lt;&gt;"OK","",IF(G194="SCHEDULED",'Case inputs'!F194,IF('Case inputs'!G194&lt;&gt;"",'Case inputs'!G194,IF(F194&lt;Assumptions!$B$5,EDATE(Assumptions!$B$5,Assumptions!$B$17),F194))))</f>
        <v/>
      </c>
      <c r="I194" s="16" t="str">
        <f t="shared" si="10"/>
        <v/>
      </c>
      <c r="J194" s="15" t="str">
        <f>IF(C194&lt;&gt;"OK","",IF(B194="INITIAL",EDATE(I194,Assumptions!$B$12)+Assumptions!$B$11,IF(B194="RECON",H194,"")))</f>
        <v/>
      </c>
      <c r="K194" s="15" t="str">
        <f>IF(C194&lt;&gt;"OK","",IF(B194="HEARING",'Case inputs'!D194,EDATE(J194,Assumptions!$B$13)))</f>
        <v/>
      </c>
      <c r="L194" s="15" t="str">
        <f>IF(C194&lt;&gt;"OK","",IF(G194="SCHEDULED",H194,EDATE(IF(B194="HEARING",H194,EDATE(K194,INT(D194))+ROUND(MOD(D194,1)*30.44,0)),Assumptions!$B$18)))</f>
        <v/>
      </c>
      <c r="M194" s="15" t="str">
        <f>IF(C194&lt;&gt;"OK","",EDATE(L194,Assumptions!$B$15))</f>
        <v/>
      </c>
      <c r="N194" s="17" t="str">
        <f>IF(C194&lt;&gt;"OK","",IF(B194="INITIAL",Assumptions!$B$21,0))</f>
        <v/>
      </c>
      <c r="O194" s="17" t="str">
        <f>IF(C194&lt;&gt;"OK","",IF(B194="INITIAL",(1-Assumptions!$B$21)*Assumptions!$B$24*Assumptions!$B$22,IF(B194="RECON",Assumptions!$B$22,0)))</f>
        <v/>
      </c>
      <c r="P194" s="17" t="str">
        <f>IF(C194&lt;&gt;"OK","",IF(B194="INITIAL",(1-Assumptions!$B$21)*Assumptions!$B$24*(1-Assumptions!$B$22)*Assumptions!$B$25,IF(B194="RECON",(1-Assumptions!$B$22)*Assumptions!$B$25,1)))</f>
        <v/>
      </c>
      <c r="Q194" s="17" t="str">
        <f>IF(C194&lt;&gt;"OK","",IF(B194="INITIAL",(1-Assumptions!$B$21)*(1-Assumptions!$B$24),0))</f>
        <v/>
      </c>
      <c r="R194" s="17" t="str">
        <f>IF(C194&lt;&gt;"OK","",IF(B194="INITIAL",(1-Assumptions!$B$21)*Assumptions!$B$24*(1-Assumptions!$B$22)*(1-Assumptions!$B$25),IF(B194="RECON",(1-Assumptions!$B$22)*(1-Assumptions!$B$25),0)))</f>
        <v/>
      </c>
      <c r="S194" s="17" t="str">
        <f>IF(C194&lt;&gt;"OK","",P194*Assumptions!$B$23)</f>
        <v/>
      </c>
      <c r="T194" s="17" t="str">
        <f>IF(C194&lt;&gt;"OK","",P194*(1-Assumptions!$B$23))</f>
        <v/>
      </c>
      <c r="U194" s="18" t="str">
        <f t="shared" si="11"/>
        <v/>
      </c>
      <c r="V194" s="15" t="str">
        <f>IF(C194&lt;&gt;"OK","",IF(B194="INITIAL",EDATE(I194,Assumptions!$B$14),""))</f>
        <v/>
      </c>
      <c r="W194" s="15" t="str">
        <f>IF(C194&lt;&gt;"OK","",IF(B194="HEARING","",EDATE(J194,Assumptions!$B$14)))</f>
        <v/>
      </c>
      <c r="X194" s="15" t="str">
        <f>IF(C194&lt;&gt;"OK","",EDATE(M194,Assumptions!$B$16))</f>
        <v/>
      </c>
    </row>
    <row r="195" spans="1:24" ht="22" customHeight="1">
      <c r="A195" s="11" t="str">
        <f>IF('Case inputs'!A195="","",'Case inputs'!A195)</f>
        <v/>
      </c>
      <c r="B195" s="11" t="str">
        <f>IF(A195="","",'Case inputs'!C195)</f>
        <v/>
      </c>
      <c r="C195" s="11" t="str">
        <f>IF('Case inputs'!I195="","",IF(Assumptions!$B$38&lt;&gt;"OK","ASSUMPTIONS INVALID",'Case inputs'!I195))</f>
        <v/>
      </c>
      <c r="D195" s="11" t="str">
        <f>IF(C195&lt;&gt;"OK","",VLOOKUP('Case inputs'!E195,Benchmarks!$A$6:$C$164,3,FALSE))</f>
        <v/>
      </c>
      <c r="E195" s="11" t="str">
        <f>IF(C195&lt;&gt;"OK","",Assumptions!$B$5-'Case inputs'!D195)</f>
        <v/>
      </c>
      <c r="F195" s="15" t="str">
        <f>IF(C195&lt;&gt;"OK","",IF(B195="INITIAL",'Case inputs'!D195+Assumptions!$B$10,IF(B195="RECON",'Case inputs'!D195+Assumptions!$B$11,EDATE('Case inputs'!D195,INT(D195))+ROUND(MOD(D195,1)*30.44,0))))</f>
        <v/>
      </c>
      <c r="G195" s="11" t="str">
        <f>IF(C195&lt;&gt;"OK","",IF(AND(B195="HEARING",'Case inputs'!F195&lt;&gt;"",'Case inputs'!F195&gt;=Assumptions!$B$5),"SCHEDULED",IF('Case inputs'!G195&lt;&gt;"","REVIEWED OVERRIDE",IF(F195&lt;Assumptions!$B$5,"OVERDUE: FUTURE WINDOW","BENCHMARK SCENARIO"))))</f>
        <v/>
      </c>
      <c r="H195" s="15" t="str">
        <f>IF(C195&lt;&gt;"OK","",IF(G195="SCHEDULED",'Case inputs'!F195,IF('Case inputs'!G195&lt;&gt;"",'Case inputs'!G195,IF(F195&lt;Assumptions!$B$5,EDATE(Assumptions!$B$5,Assumptions!$B$17),F195))))</f>
        <v/>
      </c>
      <c r="I195" s="16" t="str">
        <f t="shared" si="10"/>
        <v/>
      </c>
      <c r="J195" s="15" t="str">
        <f>IF(C195&lt;&gt;"OK","",IF(B195="INITIAL",EDATE(I195,Assumptions!$B$12)+Assumptions!$B$11,IF(B195="RECON",H195,"")))</f>
        <v/>
      </c>
      <c r="K195" s="15" t="str">
        <f>IF(C195&lt;&gt;"OK","",IF(B195="HEARING",'Case inputs'!D195,EDATE(J195,Assumptions!$B$13)))</f>
        <v/>
      </c>
      <c r="L195" s="15" t="str">
        <f>IF(C195&lt;&gt;"OK","",IF(G195="SCHEDULED",H195,EDATE(IF(B195="HEARING",H195,EDATE(K195,INT(D195))+ROUND(MOD(D195,1)*30.44,0)),Assumptions!$B$18)))</f>
        <v/>
      </c>
      <c r="M195" s="15" t="str">
        <f>IF(C195&lt;&gt;"OK","",EDATE(L195,Assumptions!$B$15))</f>
        <v/>
      </c>
      <c r="N195" s="17" t="str">
        <f>IF(C195&lt;&gt;"OK","",IF(B195="INITIAL",Assumptions!$B$21,0))</f>
        <v/>
      </c>
      <c r="O195" s="17" t="str">
        <f>IF(C195&lt;&gt;"OK","",IF(B195="INITIAL",(1-Assumptions!$B$21)*Assumptions!$B$24*Assumptions!$B$22,IF(B195="RECON",Assumptions!$B$22,0)))</f>
        <v/>
      </c>
      <c r="P195" s="17" t="str">
        <f>IF(C195&lt;&gt;"OK","",IF(B195="INITIAL",(1-Assumptions!$B$21)*Assumptions!$B$24*(1-Assumptions!$B$22)*Assumptions!$B$25,IF(B195="RECON",(1-Assumptions!$B$22)*Assumptions!$B$25,1)))</f>
        <v/>
      </c>
      <c r="Q195" s="17" t="str">
        <f>IF(C195&lt;&gt;"OK","",IF(B195="INITIAL",(1-Assumptions!$B$21)*(1-Assumptions!$B$24),0))</f>
        <v/>
      </c>
      <c r="R195" s="17" t="str">
        <f>IF(C195&lt;&gt;"OK","",IF(B195="INITIAL",(1-Assumptions!$B$21)*Assumptions!$B$24*(1-Assumptions!$B$22)*(1-Assumptions!$B$25),IF(B195="RECON",(1-Assumptions!$B$22)*(1-Assumptions!$B$25),0)))</f>
        <v/>
      </c>
      <c r="S195" s="17" t="str">
        <f>IF(C195&lt;&gt;"OK","",P195*Assumptions!$B$23)</f>
        <v/>
      </c>
      <c r="T195" s="17" t="str">
        <f>IF(C195&lt;&gt;"OK","",P195*(1-Assumptions!$B$23))</f>
        <v/>
      </c>
      <c r="U195" s="18" t="str">
        <f t="shared" si="11"/>
        <v/>
      </c>
      <c r="V195" s="15" t="str">
        <f>IF(C195&lt;&gt;"OK","",IF(B195="INITIAL",EDATE(I195,Assumptions!$B$14),""))</f>
        <v/>
      </c>
      <c r="W195" s="15" t="str">
        <f>IF(C195&lt;&gt;"OK","",IF(B195="HEARING","",EDATE(J195,Assumptions!$B$14)))</f>
        <v/>
      </c>
      <c r="X195" s="15" t="str">
        <f>IF(C195&lt;&gt;"OK","",EDATE(M195,Assumptions!$B$16))</f>
        <v/>
      </c>
    </row>
    <row r="196" spans="1:24" ht="22" customHeight="1">
      <c r="A196" s="11" t="str">
        <f>IF('Case inputs'!A196="","",'Case inputs'!A196)</f>
        <v/>
      </c>
      <c r="B196" s="11" t="str">
        <f>IF(A196="","",'Case inputs'!C196)</f>
        <v/>
      </c>
      <c r="C196" s="11" t="str">
        <f>IF('Case inputs'!I196="","",IF(Assumptions!$B$38&lt;&gt;"OK","ASSUMPTIONS INVALID",'Case inputs'!I196))</f>
        <v/>
      </c>
      <c r="D196" s="11" t="str">
        <f>IF(C196&lt;&gt;"OK","",VLOOKUP('Case inputs'!E196,Benchmarks!$A$6:$C$164,3,FALSE))</f>
        <v/>
      </c>
      <c r="E196" s="11" t="str">
        <f>IF(C196&lt;&gt;"OK","",Assumptions!$B$5-'Case inputs'!D196)</f>
        <v/>
      </c>
      <c r="F196" s="15" t="str">
        <f>IF(C196&lt;&gt;"OK","",IF(B196="INITIAL",'Case inputs'!D196+Assumptions!$B$10,IF(B196="RECON",'Case inputs'!D196+Assumptions!$B$11,EDATE('Case inputs'!D196,INT(D196))+ROUND(MOD(D196,1)*30.44,0))))</f>
        <v/>
      </c>
      <c r="G196" s="11" t="str">
        <f>IF(C196&lt;&gt;"OK","",IF(AND(B196="HEARING",'Case inputs'!F196&lt;&gt;"",'Case inputs'!F196&gt;=Assumptions!$B$5),"SCHEDULED",IF('Case inputs'!G196&lt;&gt;"","REVIEWED OVERRIDE",IF(F196&lt;Assumptions!$B$5,"OVERDUE: FUTURE WINDOW","BENCHMARK SCENARIO"))))</f>
        <v/>
      </c>
      <c r="H196" s="15" t="str">
        <f>IF(C196&lt;&gt;"OK","",IF(G196="SCHEDULED",'Case inputs'!F196,IF('Case inputs'!G196&lt;&gt;"",'Case inputs'!G196,IF(F196&lt;Assumptions!$B$5,EDATE(Assumptions!$B$5,Assumptions!$B$17),F196))))</f>
        <v/>
      </c>
      <c r="I196" s="16" t="str">
        <f t="shared" si="10"/>
        <v/>
      </c>
      <c r="J196" s="15" t="str">
        <f>IF(C196&lt;&gt;"OK","",IF(B196="INITIAL",EDATE(I196,Assumptions!$B$12)+Assumptions!$B$11,IF(B196="RECON",H196,"")))</f>
        <v/>
      </c>
      <c r="K196" s="15" t="str">
        <f>IF(C196&lt;&gt;"OK","",IF(B196="HEARING",'Case inputs'!D196,EDATE(J196,Assumptions!$B$13)))</f>
        <v/>
      </c>
      <c r="L196" s="15" t="str">
        <f>IF(C196&lt;&gt;"OK","",IF(G196="SCHEDULED",H196,EDATE(IF(B196="HEARING",H196,EDATE(K196,INT(D196))+ROUND(MOD(D196,1)*30.44,0)),Assumptions!$B$18)))</f>
        <v/>
      </c>
      <c r="M196" s="15" t="str">
        <f>IF(C196&lt;&gt;"OK","",EDATE(L196,Assumptions!$B$15))</f>
        <v/>
      </c>
      <c r="N196" s="17" t="str">
        <f>IF(C196&lt;&gt;"OK","",IF(B196="INITIAL",Assumptions!$B$21,0))</f>
        <v/>
      </c>
      <c r="O196" s="17" t="str">
        <f>IF(C196&lt;&gt;"OK","",IF(B196="INITIAL",(1-Assumptions!$B$21)*Assumptions!$B$24*Assumptions!$B$22,IF(B196="RECON",Assumptions!$B$22,0)))</f>
        <v/>
      </c>
      <c r="P196" s="17" t="str">
        <f>IF(C196&lt;&gt;"OK","",IF(B196="INITIAL",(1-Assumptions!$B$21)*Assumptions!$B$24*(1-Assumptions!$B$22)*Assumptions!$B$25,IF(B196="RECON",(1-Assumptions!$B$22)*Assumptions!$B$25,1)))</f>
        <v/>
      </c>
      <c r="Q196" s="17" t="str">
        <f>IF(C196&lt;&gt;"OK","",IF(B196="INITIAL",(1-Assumptions!$B$21)*(1-Assumptions!$B$24),0))</f>
        <v/>
      </c>
      <c r="R196" s="17" t="str">
        <f>IF(C196&lt;&gt;"OK","",IF(B196="INITIAL",(1-Assumptions!$B$21)*Assumptions!$B$24*(1-Assumptions!$B$22)*(1-Assumptions!$B$25),IF(B196="RECON",(1-Assumptions!$B$22)*(1-Assumptions!$B$25),0)))</f>
        <v/>
      </c>
      <c r="S196" s="17" t="str">
        <f>IF(C196&lt;&gt;"OK","",P196*Assumptions!$B$23)</f>
        <v/>
      </c>
      <c r="T196" s="17" t="str">
        <f>IF(C196&lt;&gt;"OK","",P196*(1-Assumptions!$B$23))</f>
        <v/>
      </c>
      <c r="U196" s="18" t="str">
        <f t="shared" si="11"/>
        <v/>
      </c>
      <c r="V196" s="15" t="str">
        <f>IF(C196&lt;&gt;"OK","",IF(B196="INITIAL",EDATE(I196,Assumptions!$B$14),""))</f>
        <v/>
      </c>
      <c r="W196" s="15" t="str">
        <f>IF(C196&lt;&gt;"OK","",IF(B196="HEARING","",EDATE(J196,Assumptions!$B$14)))</f>
        <v/>
      </c>
      <c r="X196" s="15" t="str">
        <f>IF(C196&lt;&gt;"OK","",EDATE(M196,Assumptions!$B$16))</f>
        <v/>
      </c>
    </row>
    <row r="197" spans="1:24" ht="22" customHeight="1">
      <c r="A197" s="11" t="str">
        <f>IF('Case inputs'!A197="","",'Case inputs'!A197)</f>
        <v/>
      </c>
      <c r="B197" s="11" t="str">
        <f>IF(A197="","",'Case inputs'!C197)</f>
        <v/>
      </c>
      <c r="C197" s="11" t="str">
        <f>IF('Case inputs'!I197="","",IF(Assumptions!$B$38&lt;&gt;"OK","ASSUMPTIONS INVALID",'Case inputs'!I197))</f>
        <v/>
      </c>
      <c r="D197" s="11" t="str">
        <f>IF(C197&lt;&gt;"OK","",VLOOKUP('Case inputs'!E197,Benchmarks!$A$6:$C$164,3,FALSE))</f>
        <v/>
      </c>
      <c r="E197" s="11" t="str">
        <f>IF(C197&lt;&gt;"OK","",Assumptions!$B$5-'Case inputs'!D197)</f>
        <v/>
      </c>
      <c r="F197" s="15" t="str">
        <f>IF(C197&lt;&gt;"OK","",IF(B197="INITIAL",'Case inputs'!D197+Assumptions!$B$10,IF(B197="RECON",'Case inputs'!D197+Assumptions!$B$11,EDATE('Case inputs'!D197,INT(D197))+ROUND(MOD(D197,1)*30.44,0))))</f>
        <v/>
      </c>
      <c r="G197" s="11" t="str">
        <f>IF(C197&lt;&gt;"OK","",IF(AND(B197="HEARING",'Case inputs'!F197&lt;&gt;"",'Case inputs'!F197&gt;=Assumptions!$B$5),"SCHEDULED",IF('Case inputs'!G197&lt;&gt;"","REVIEWED OVERRIDE",IF(F197&lt;Assumptions!$B$5,"OVERDUE: FUTURE WINDOW","BENCHMARK SCENARIO"))))</f>
        <v/>
      </c>
      <c r="H197" s="15" t="str">
        <f>IF(C197&lt;&gt;"OK","",IF(G197="SCHEDULED",'Case inputs'!F197,IF('Case inputs'!G197&lt;&gt;"",'Case inputs'!G197,IF(F197&lt;Assumptions!$B$5,EDATE(Assumptions!$B$5,Assumptions!$B$17),F197))))</f>
        <v/>
      </c>
      <c r="I197" s="16" t="str">
        <f t="shared" si="10"/>
        <v/>
      </c>
      <c r="J197" s="15" t="str">
        <f>IF(C197&lt;&gt;"OK","",IF(B197="INITIAL",EDATE(I197,Assumptions!$B$12)+Assumptions!$B$11,IF(B197="RECON",H197,"")))</f>
        <v/>
      </c>
      <c r="K197" s="15" t="str">
        <f>IF(C197&lt;&gt;"OK","",IF(B197="HEARING",'Case inputs'!D197,EDATE(J197,Assumptions!$B$13)))</f>
        <v/>
      </c>
      <c r="L197" s="15" t="str">
        <f>IF(C197&lt;&gt;"OK","",IF(G197="SCHEDULED",H197,EDATE(IF(B197="HEARING",H197,EDATE(K197,INT(D197))+ROUND(MOD(D197,1)*30.44,0)),Assumptions!$B$18)))</f>
        <v/>
      </c>
      <c r="M197" s="15" t="str">
        <f>IF(C197&lt;&gt;"OK","",EDATE(L197,Assumptions!$B$15))</f>
        <v/>
      </c>
      <c r="N197" s="17" t="str">
        <f>IF(C197&lt;&gt;"OK","",IF(B197="INITIAL",Assumptions!$B$21,0))</f>
        <v/>
      </c>
      <c r="O197" s="17" t="str">
        <f>IF(C197&lt;&gt;"OK","",IF(B197="INITIAL",(1-Assumptions!$B$21)*Assumptions!$B$24*Assumptions!$B$22,IF(B197="RECON",Assumptions!$B$22,0)))</f>
        <v/>
      </c>
      <c r="P197" s="17" t="str">
        <f>IF(C197&lt;&gt;"OK","",IF(B197="INITIAL",(1-Assumptions!$B$21)*Assumptions!$B$24*(1-Assumptions!$B$22)*Assumptions!$B$25,IF(B197="RECON",(1-Assumptions!$B$22)*Assumptions!$B$25,1)))</f>
        <v/>
      </c>
      <c r="Q197" s="17" t="str">
        <f>IF(C197&lt;&gt;"OK","",IF(B197="INITIAL",(1-Assumptions!$B$21)*(1-Assumptions!$B$24),0))</f>
        <v/>
      </c>
      <c r="R197" s="17" t="str">
        <f>IF(C197&lt;&gt;"OK","",IF(B197="INITIAL",(1-Assumptions!$B$21)*Assumptions!$B$24*(1-Assumptions!$B$22)*(1-Assumptions!$B$25),IF(B197="RECON",(1-Assumptions!$B$22)*(1-Assumptions!$B$25),0)))</f>
        <v/>
      </c>
      <c r="S197" s="17" t="str">
        <f>IF(C197&lt;&gt;"OK","",P197*Assumptions!$B$23)</f>
        <v/>
      </c>
      <c r="T197" s="17" t="str">
        <f>IF(C197&lt;&gt;"OK","",P197*(1-Assumptions!$B$23))</f>
        <v/>
      </c>
      <c r="U197" s="18" t="str">
        <f t="shared" si="11"/>
        <v/>
      </c>
      <c r="V197" s="15" t="str">
        <f>IF(C197&lt;&gt;"OK","",IF(B197="INITIAL",EDATE(I197,Assumptions!$B$14),""))</f>
        <v/>
      </c>
      <c r="W197" s="15" t="str">
        <f>IF(C197&lt;&gt;"OK","",IF(B197="HEARING","",EDATE(J197,Assumptions!$B$14)))</f>
        <v/>
      </c>
      <c r="X197" s="15" t="str">
        <f>IF(C197&lt;&gt;"OK","",EDATE(M197,Assumptions!$B$16))</f>
        <v/>
      </c>
    </row>
    <row r="198" spans="1:24" ht="22" customHeight="1">
      <c r="A198" s="11" t="str">
        <f>IF('Case inputs'!A198="","",'Case inputs'!A198)</f>
        <v/>
      </c>
      <c r="B198" s="11" t="str">
        <f>IF(A198="","",'Case inputs'!C198)</f>
        <v/>
      </c>
      <c r="C198" s="11" t="str">
        <f>IF('Case inputs'!I198="","",IF(Assumptions!$B$38&lt;&gt;"OK","ASSUMPTIONS INVALID",'Case inputs'!I198))</f>
        <v/>
      </c>
      <c r="D198" s="11" t="str">
        <f>IF(C198&lt;&gt;"OK","",VLOOKUP('Case inputs'!E198,Benchmarks!$A$6:$C$164,3,FALSE))</f>
        <v/>
      </c>
      <c r="E198" s="11" t="str">
        <f>IF(C198&lt;&gt;"OK","",Assumptions!$B$5-'Case inputs'!D198)</f>
        <v/>
      </c>
      <c r="F198" s="15" t="str">
        <f>IF(C198&lt;&gt;"OK","",IF(B198="INITIAL",'Case inputs'!D198+Assumptions!$B$10,IF(B198="RECON",'Case inputs'!D198+Assumptions!$B$11,EDATE('Case inputs'!D198,INT(D198))+ROUND(MOD(D198,1)*30.44,0))))</f>
        <v/>
      </c>
      <c r="G198" s="11" t="str">
        <f>IF(C198&lt;&gt;"OK","",IF(AND(B198="HEARING",'Case inputs'!F198&lt;&gt;"",'Case inputs'!F198&gt;=Assumptions!$B$5),"SCHEDULED",IF('Case inputs'!G198&lt;&gt;"","REVIEWED OVERRIDE",IF(F198&lt;Assumptions!$B$5,"OVERDUE: FUTURE WINDOW","BENCHMARK SCENARIO"))))</f>
        <v/>
      </c>
      <c r="H198" s="15" t="str">
        <f>IF(C198&lt;&gt;"OK","",IF(G198="SCHEDULED",'Case inputs'!F198,IF('Case inputs'!G198&lt;&gt;"",'Case inputs'!G198,IF(F198&lt;Assumptions!$B$5,EDATE(Assumptions!$B$5,Assumptions!$B$17),F198))))</f>
        <v/>
      </c>
      <c r="I198" s="16" t="str">
        <f t="shared" ref="I198:I229" si="12">IF(C198&lt;&gt;"OK","",IF(B198="INITIAL",H198,""))</f>
        <v/>
      </c>
      <c r="J198" s="15" t="str">
        <f>IF(C198&lt;&gt;"OK","",IF(B198="INITIAL",EDATE(I198,Assumptions!$B$12)+Assumptions!$B$11,IF(B198="RECON",H198,"")))</f>
        <v/>
      </c>
      <c r="K198" s="15" t="str">
        <f>IF(C198&lt;&gt;"OK","",IF(B198="HEARING",'Case inputs'!D198,EDATE(J198,Assumptions!$B$13)))</f>
        <v/>
      </c>
      <c r="L198" s="15" t="str">
        <f>IF(C198&lt;&gt;"OK","",IF(G198="SCHEDULED",H198,EDATE(IF(B198="HEARING",H198,EDATE(K198,INT(D198))+ROUND(MOD(D198,1)*30.44,0)),Assumptions!$B$18)))</f>
        <v/>
      </c>
      <c r="M198" s="15" t="str">
        <f>IF(C198&lt;&gt;"OK","",EDATE(L198,Assumptions!$B$15))</f>
        <v/>
      </c>
      <c r="N198" s="17" t="str">
        <f>IF(C198&lt;&gt;"OK","",IF(B198="INITIAL",Assumptions!$B$21,0))</f>
        <v/>
      </c>
      <c r="O198" s="17" t="str">
        <f>IF(C198&lt;&gt;"OK","",IF(B198="INITIAL",(1-Assumptions!$B$21)*Assumptions!$B$24*Assumptions!$B$22,IF(B198="RECON",Assumptions!$B$22,0)))</f>
        <v/>
      </c>
      <c r="P198" s="17" t="str">
        <f>IF(C198&lt;&gt;"OK","",IF(B198="INITIAL",(1-Assumptions!$B$21)*Assumptions!$B$24*(1-Assumptions!$B$22)*Assumptions!$B$25,IF(B198="RECON",(1-Assumptions!$B$22)*Assumptions!$B$25,1)))</f>
        <v/>
      </c>
      <c r="Q198" s="17" t="str">
        <f>IF(C198&lt;&gt;"OK","",IF(B198="INITIAL",(1-Assumptions!$B$21)*(1-Assumptions!$B$24),0))</f>
        <v/>
      </c>
      <c r="R198" s="17" t="str">
        <f>IF(C198&lt;&gt;"OK","",IF(B198="INITIAL",(1-Assumptions!$B$21)*Assumptions!$B$24*(1-Assumptions!$B$22)*(1-Assumptions!$B$25),IF(B198="RECON",(1-Assumptions!$B$22)*(1-Assumptions!$B$25),0)))</f>
        <v/>
      </c>
      <c r="S198" s="17" t="str">
        <f>IF(C198&lt;&gt;"OK","",P198*Assumptions!$B$23)</f>
        <v/>
      </c>
      <c r="T198" s="17" t="str">
        <f>IF(C198&lt;&gt;"OK","",P198*(1-Assumptions!$B$23))</f>
        <v/>
      </c>
      <c r="U198" s="18" t="str">
        <f t="shared" ref="U198:U229" si="13">IF(C198&lt;&gt;"OK","",SUM(N198:O198,Q198:T198))</f>
        <v/>
      </c>
      <c r="V198" s="15" t="str">
        <f>IF(C198&lt;&gt;"OK","",IF(B198="INITIAL",EDATE(I198,Assumptions!$B$14),""))</f>
        <v/>
      </c>
      <c r="W198" s="15" t="str">
        <f>IF(C198&lt;&gt;"OK","",IF(B198="HEARING","",EDATE(J198,Assumptions!$B$14)))</f>
        <v/>
      </c>
      <c r="X198" s="15" t="str">
        <f>IF(C198&lt;&gt;"OK","",EDATE(M198,Assumptions!$B$16))</f>
        <v/>
      </c>
    </row>
    <row r="199" spans="1:24" ht="22" customHeight="1">
      <c r="A199" s="11" t="str">
        <f>IF('Case inputs'!A199="","",'Case inputs'!A199)</f>
        <v/>
      </c>
      <c r="B199" s="11" t="str">
        <f>IF(A199="","",'Case inputs'!C199)</f>
        <v/>
      </c>
      <c r="C199" s="11" t="str">
        <f>IF('Case inputs'!I199="","",IF(Assumptions!$B$38&lt;&gt;"OK","ASSUMPTIONS INVALID",'Case inputs'!I199))</f>
        <v/>
      </c>
      <c r="D199" s="11" t="str">
        <f>IF(C199&lt;&gt;"OK","",VLOOKUP('Case inputs'!E199,Benchmarks!$A$6:$C$164,3,FALSE))</f>
        <v/>
      </c>
      <c r="E199" s="11" t="str">
        <f>IF(C199&lt;&gt;"OK","",Assumptions!$B$5-'Case inputs'!D199)</f>
        <v/>
      </c>
      <c r="F199" s="15" t="str">
        <f>IF(C199&lt;&gt;"OK","",IF(B199="INITIAL",'Case inputs'!D199+Assumptions!$B$10,IF(B199="RECON",'Case inputs'!D199+Assumptions!$B$11,EDATE('Case inputs'!D199,INT(D199))+ROUND(MOD(D199,1)*30.44,0))))</f>
        <v/>
      </c>
      <c r="G199" s="11" t="str">
        <f>IF(C199&lt;&gt;"OK","",IF(AND(B199="HEARING",'Case inputs'!F199&lt;&gt;"",'Case inputs'!F199&gt;=Assumptions!$B$5),"SCHEDULED",IF('Case inputs'!G199&lt;&gt;"","REVIEWED OVERRIDE",IF(F199&lt;Assumptions!$B$5,"OVERDUE: FUTURE WINDOW","BENCHMARK SCENARIO"))))</f>
        <v/>
      </c>
      <c r="H199" s="15" t="str">
        <f>IF(C199&lt;&gt;"OK","",IF(G199="SCHEDULED",'Case inputs'!F199,IF('Case inputs'!G199&lt;&gt;"",'Case inputs'!G199,IF(F199&lt;Assumptions!$B$5,EDATE(Assumptions!$B$5,Assumptions!$B$17),F199))))</f>
        <v/>
      </c>
      <c r="I199" s="16" t="str">
        <f t="shared" si="12"/>
        <v/>
      </c>
      <c r="J199" s="15" t="str">
        <f>IF(C199&lt;&gt;"OK","",IF(B199="INITIAL",EDATE(I199,Assumptions!$B$12)+Assumptions!$B$11,IF(B199="RECON",H199,"")))</f>
        <v/>
      </c>
      <c r="K199" s="15" t="str">
        <f>IF(C199&lt;&gt;"OK","",IF(B199="HEARING",'Case inputs'!D199,EDATE(J199,Assumptions!$B$13)))</f>
        <v/>
      </c>
      <c r="L199" s="15" t="str">
        <f>IF(C199&lt;&gt;"OK","",IF(G199="SCHEDULED",H199,EDATE(IF(B199="HEARING",H199,EDATE(K199,INT(D199))+ROUND(MOD(D199,1)*30.44,0)),Assumptions!$B$18)))</f>
        <v/>
      </c>
      <c r="M199" s="15" t="str">
        <f>IF(C199&lt;&gt;"OK","",EDATE(L199,Assumptions!$B$15))</f>
        <v/>
      </c>
      <c r="N199" s="17" t="str">
        <f>IF(C199&lt;&gt;"OK","",IF(B199="INITIAL",Assumptions!$B$21,0))</f>
        <v/>
      </c>
      <c r="O199" s="17" t="str">
        <f>IF(C199&lt;&gt;"OK","",IF(B199="INITIAL",(1-Assumptions!$B$21)*Assumptions!$B$24*Assumptions!$B$22,IF(B199="RECON",Assumptions!$B$22,0)))</f>
        <v/>
      </c>
      <c r="P199" s="17" t="str">
        <f>IF(C199&lt;&gt;"OK","",IF(B199="INITIAL",(1-Assumptions!$B$21)*Assumptions!$B$24*(1-Assumptions!$B$22)*Assumptions!$B$25,IF(B199="RECON",(1-Assumptions!$B$22)*Assumptions!$B$25,1)))</f>
        <v/>
      </c>
      <c r="Q199" s="17" t="str">
        <f>IF(C199&lt;&gt;"OK","",IF(B199="INITIAL",(1-Assumptions!$B$21)*(1-Assumptions!$B$24),0))</f>
        <v/>
      </c>
      <c r="R199" s="17" t="str">
        <f>IF(C199&lt;&gt;"OK","",IF(B199="INITIAL",(1-Assumptions!$B$21)*Assumptions!$B$24*(1-Assumptions!$B$22)*(1-Assumptions!$B$25),IF(B199="RECON",(1-Assumptions!$B$22)*(1-Assumptions!$B$25),0)))</f>
        <v/>
      </c>
      <c r="S199" s="17" t="str">
        <f>IF(C199&lt;&gt;"OK","",P199*Assumptions!$B$23)</f>
        <v/>
      </c>
      <c r="T199" s="17" t="str">
        <f>IF(C199&lt;&gt;"OK","",P199*(1-Assumptions!$B$23))</f>
        <v/>
      </c>
      <c r="U199" s="18" t="str">
        <f t="shared" si="13"/>
        <v/>
      </c>
      <c r="V199" s="15" t="str">
        <f>IF(C199&lt;&gt;"OK","",IF(B199="INITIAL",EDATE(I199,Assumptions!$B$14),""))</f>
        <v/>
      </c>
      <c r="W199" s="15" t="str">
        <f>IF(C199&lt;&gt;"OK","",IF(B199="HEARING","",EDATE(J199,Assumptions!$B$14)))</f>
        <v/>
      </c>
      <c r="X199" s="15" t="str">
        <f>IF(C199&lt;&gt;"OK","",EDATE(M199,Assumptions!$B$16))</f>
        <v/>
      </c>
    </row>
    <row r="200" spans="1:24" ht="22" customHeight="1">
      <c r="A200" s="11" t="str">
        <f>IF('Case inputs'!A200="","",'Case inputs'!A200)</f>
        <v/>
      </c>
      <c r="B200" s="11" t="str">
        <f>IF(A200="","",'Case inputs'!C200)</f>
        <v/>
      </c>
      <c r="C200" s="11" t="str">
        <f>IF('Case inputs'!I200="","",IF(Assumptions!$B$38&lt;&gt;"OK","ASSUMPTIONS INVALID",'Case inputs'!I200))</f>
        <v/>
      </c>
      <c r="D200" s="11" t="str">
        <f>IF(C200&lt;&gt;"OK","",VLOOKUP('Case inputs'!E200,Benchmarks!$A$6:$C$164,3,FALSE))</f>
        <v/>
      </c>
      <c r="E200" s="11" t="str">
        <f>IF(C200&lt;&gt;"OK","",Assumptions!$B$5-'Case inputs'!D200)</f>
        <v/>
      </c>
      <c r="F200" s="15" t="str">
        <f>IF(C200&lt;&gt;"OK","",IF(B200="INITIAL",'Case inputs'!D200+Assumptions!$B$10,IF(B200="RECON",'Case inputs'!D200+Assumptions!$B$11,EDATE('Case inputs'!D200,INT(D200))+ROUND(MOD(D200,1)*30.44,0))))</f>
        <v/>
      </c>
      <c r="G200" s="11" t="str">
        <f>IF(C200&lt;&gt;"OK","",IF(AND(B200="HEARING",'Case inputs'!F200&lt;&gt;"",'Case inputs'!F200&gt;=Assumptions!$B$5),"SCHEDULED",IF('Case inputs'!G200&lt;&gt;"","REVIEWED OVERRIDE",IF(F200&lt;Assumptions!$B$5,"OVERDUE: FUTURE WINDOW","BENCHMARK SCENARIO"))))</f>
        <v/>
      </c>
      <c r="H200" s="15" t="str">
        <f>IF(C200&lt;&gt;"OK","",IF(G200="SCHEDULED",'Case inputs'!F200,IF('Case inputs'!G200&lt;&gt;"",'Case inputs'!G200,IF(F200&lt;Assumptions!$B$5,EDATE(Assumptions!$B$5,Assumptions!$B$17),F200))))</f>
        <v/>
      </c>
      <c r="I200" s="16" t="str">
        <f t="shared" si="12"/>
        <v/>
      </c>
      <c r="J200" s="15" t="str">
        <f>IF(C200&lt;&gt;"OK","",IF(B200="INITIAL",EDATE(I200,Assumptions!$B$12)+Assumptions!$B$11,IF(B200="RECON",H200,"")))</f>
        <v/>
      </c>
      <c r="K200" s="15" t="str">
        <f>IF(C200&lt;&gt;"OK","",IF(B200="HEARING",'Case inputs'!D200,EDATE(J200,Assumptions!$B$13)))</f>
        <v/>
      </c>
      <c r="L200" s="15" t="str">
        <f>IF(C200&lt;&gt;"OK","",IF(G200="SCHEDULED",H200,EDATE(IF(B200="HEARING",H200,EDATE(K200,INT(D200))+ROUND(MOD(D200,1)*30.44,0)),Assumptions!$B$18)))</f>
        <v/>
      </c>
      <c r="M200" s="15" t="str">
        <f>IF(C200&lt;&gt;"OK","",EDATE(L200,Assumptions!$B$15))</f>
        <v/>
      </c>
      <c r="N200" s="17" t="str">
        <f>IF(C200&lt;&gt;"OK","",IF(B200="INITIAL",Assumptions!$B$21,0))</f>
        <v/>
      </c>
      <c r="O200" s="17" t="str">
        <f>IF(C200&lt;&gt;"OK","",IF(B200="INITIAL",(1-Assumptions!$B$21)*Assumptions!$B$24*Assumptions!$B$22,IF(B200="RECON",Assumptions!$B$22,0)))</f>
        <v/>
      </c>
      <c r="P200" s="17" t="str">
        <f>IF(C200&lt;&gt;"OK","",IF(B200="INITIAL",(1-Assumptions!$B$21)*Assumptions!$B$24*(1-Assumptions!$B$22)*Assumptions!$B$25,IF(B200="RECON",(1-Assumptions!$B$22)*Assumptions!$B$25,1)))</f>
        <v/>
      </c>
      <c r="Q200" s="17" t="str">
        <f>IF(C200&lt;&gt;"OK","",IF(B200="INITIAL",(1-Assumptions!$B$21)*(1-Assumptions!$B$24),0))</f>
        <v/>
      </c>
      <c r="R200" s="17" t="str">
        <f>IF(C200&lt;&gt;"OK","",IF(B200="INITIAL",(1-Assumptions!$B$21)*Assumptions!$B$24*(1-Assumptions!$B$22)*(1-Assumptions!$B$25),IF(B200="RECON",(1-Assumptions!$B$22)*(1-Assumptions!$B$25),0)))</f>
        <v/>
      </c>
      <c r="S200" s="17" t="str">
        <f>IF(C200&lt;&gt;"OK","",P200*Assumptions!$B$23)</f>
        <v/>
      </c>
      <c r="T200" s="17" t="str">
        <f>IF(C200&lt;&gt;"OK","",P200*(1-Assumptions!$B$23))</f>
        <v/>
      </c>
      <c r="U200" s="18" t="str">
        <f t="shared" si="13"/>
        <v/>
      </c>
      <c r="V200" s="15" t="str">
        <f>IF(C200&lt;&gt;"OK","",IF(B200="INITIAL",EDATE(I200,Assumptions!$B$14),""))</f>
        <v/>
      </c>
      <c r="W200" s="15" t="str">
        <f>IF(C200&lt;&gt;"OK","",IF(B200="HEARING","",EDATE(J200,Assumptions!$B$14)))</f>
        <v/>
      </c>
      <c r="X200" s="15" t="str">
        <f>IF(C200&lt;&gt;"OK","",EDATE(M200,Assumptions!$B$16))</f>
        <v/>
      </c>
    </row>
    <row r="201" spans="1:24" ht="22" customHeight="1">
      <c r="A201" s="11" t="str">
        <f>IF('Case inputs'!A201="","",'Case inputs'!A201)</f>
        <v/>
      </c>
      <c r="B201" s="11" t="str">
        <f>IF(A201="","",'Case inputs'!C201)</f>
        <v/>
      </c>
      <c r="C201" s="11" t="str">
        <f>IF('Case inputs'!I201="","",IF(Assumptions!$B$38&lt;&gt;"OK","ASSUMPTIONS INVALID",'Case inputs'!I201))</f>
        <v/>
      </c>
      <c r="D201" s="11" t="str">
        <f>IF(C201&lt;&gt;"OK","",VLOOKUP('Case inputs'!E201,Benchmarks!$A$6:$C$164,3,FALSE))</f>
        <v/>
      </c>
      <c r="E201" s="11" t="str">
        <f>IF(C201&lt;&gt;"OK","",Assumptions!$B$5-'Case inputs'!D201)</f>
        <v/>
      </c>
      <c r="F201" s="15" t="str">
        <f>IF(C201&lt;&gt;"OK","",IF(B201="INITIAL",'Case inputs'!D201+Assumptions!$B$10,IF(B201="RECON",'Case inputs'!D201+Assumptions!$B$11,EDATE('Case inputs'!D201,INT(D201))+ROUND(MOD(D201,1)*30.44,0))))</f>
        <v/>
      </c>
      <c r="G201" s="11" t="str">
        <f>IF(C201&lt;&gt;"OK","",IF(AND(B201="HEARING",'Case inputs'!F201&lt;&gt;"",'Case inputs'!F201&gt;=Assumptions!$B$5),"SCHEDULED",IF('Case inputs'!G201&lt;&gt;"","REVIEWED OVERRIDE",IF(F201&lt;Assumptions!$B$5,"OVERDUE: FUTURE WINDOW","BENCHMARK SCENARIO"))))</f>
        <v/>
      </c>
      <c r="H201" s="15" t="str">
        <f>IF(C201&lt;&gt;"OK","",IF(G201="SCHEDULED",'Case inputs'!F201,IF('Case inputs'!G201&lt;&gt;"",'Case inputs'!G201,IF(F201&lt;Assumptions!$B$5,EDATE(Assumptions!$B$5,Assumptions!$B$17),F201))))</f>
        <v/>
      </c>
      <c r="I201" s="16" t="str">
        <f t="shared" si="12"/>
        <v/>
      </c>
      <c r="J201" s="15" t="str">
        <f>IF(C201&lt;&gt;"OK","",IF(B201="INITIAL",EDATE(I201,Assumptions!$B$12)+Assumptions!$B$11,IF(B201="RECON",H201,"")))</f>
        <v/>
      </c>
      <c r="K201" s="15" t="str">
        <f>IF(C201&lt;&gt;"OK","",IF(B201="HEARING",'Case inputs'!D201,EDATE(J201,Assumptions!$B$13)))</f>
        <v/>
      </c>
      <c r="L201" s="15" t="str">
        <f>IF(C201&lt;&gt;"OK","",IF(G201="SCHEDULED",H201,EDATE(IF(B201="HEARING",H201,EDATE(K201,INT(D201))+ROUND(MOD(D201,1)*30.44,0)),Assumptions!$B$18)))</f>
        <v/>
      </c>
      <c r="M201" s="15" t="str">
        <f>IF(C201&lt;&gt;"OK","",EDATE(L201,Assumptions!$B$15))</f>
        <v/>
      </c>
      <c r="N201" s="17" t="str">
        <f>IF(C201&lt;&gt;"OK","",IF(B201="INITIAL",Assumptions!$B$21,0))</f>
        <v/>
      </c>
      <c r="O201" s="17" t="str">
        <f>IF(C201&lt;&gt;"OK","",IF(B201="INITIAL",(1-Assumptions!$B$21)*Assumptions!$B$24*Assumptions!$B$22,IF(B201="RECON",Assumptions!$B$22,0)))</f>
        <v/>
      </c>
      <c r="P201" s="17" t="str">
        <f>IF(C201&lt;&gt;"OK","",IF(B201="INITIAL",(1-Assumptions!$B$21)*Assumptions!$B$24*(1-Assumptions!$B$22)*Assumptions!$B$25,IF(B201="RECON",(1-Assumptions!$B$22)*Assumptions!$B$25,1)))</f>
        <v/>
      </c>
      <c r="Q201" s="17" t="str">
        <f>IF(C201&lt;&gt;"OK","",IF(B201="INITIAL",(1-Assumptions!$B$21)*(1-Assumptions!$B$24),0))</f>
        <v/>
      </c>
      <c r="R201" s="17" t="str">
        <f>IF(C201&lt;&gt;"OK","",IF(B201="INITIAL",(1-Assumptions!$B$21)*Assumptions!$B$24*(1-Assumptions!$B$22)*(1-Assumptions!$B$25),IF(B201="RECON",(1-Assumptions!$B$22)*(1-Assumptions!$B$25),0)))</f>
        <v/>
      </c>
      <c r="S201" s="17" t="str">
        <f>IF(C201&lt;&gt;"OK","",P201*Assumptions!$B$23)</f>
        <v/>
      </c>
      <c r="T201" s="17" t="str">
        <f>IF(C201&lt;&gt;"OK","",P201*(1-Assumptions!$B$23))</f>
        <v/>
      </c>
      <c r="U201" s="18" t="str">
        <f t="shared" si="13"/>
        <v/>
      </c>
      <c r="V201" s="15" t="str">
        <f>IF(C201&lt;&gt;"OK","",IF(B201="INITIAL",EDATE(I201,Assumptions!$B$14),""))</f>
        <v/>
      </c>
      <c r="W201" s="15" t="str">
        <f>IF(C201&lt;&gt;"OK","",IF(B201="HEARING","",EDATE(J201,Assumptions!$B$14)))</f>
        <v/>
      </c>
      <c r="X201" s="15" t="str">
        <f>IF(C201&lt;&gt;"OK","",EDATE(M201,Assumptions!$B$16))</f>
        <v/>
      </c>
    </row>
    <row r="202" spans="1:24" ht="22" customHeight="1">
      <c r="A202" s="11" t="str">
        <f>IF('Case inputs'!A202="","",'Case inputs'!A202)</f>
        <v/>
      </c>
      <c r="B202" s="11" t="str">
        <f>IF(A202="","",'Case inputs'!C202)</f>
        <v/>
      </c>
      <c r="C202" s="11" t="str">
        <f>IF('Case inputs'!I202="","",IF(Assumptions!$B$38&lt;&gt;"OK","ASSUMPTIONS INVALID",'Case inputs'!I202))</f>
        <v/>
      </c>
      <c r="D202" s="11" t="str">
        <f>IF(C202&lt;&gt;"OK","",VLOOKUP('Case inputs'!E202,Benchmarks!$A$6:$C$164,3,FALSE))</f>
        <v/>
      </c>
      <c r="E202" s="11" t="str">
        <f>IF(C202&lt;&gt;"OK","",Assumptions!$B$5-'Case inputs'!D202)</f>
        <v/>
      </c>
      <c r="F202" s="15" t="str">
        <f>IF(C202&lt;&gt;"OK","",IF(B202="INITIAL",'Case inputs'!D202+Assumptions!$B$10,IF(B202="RECON",'Case inputs'!D202+Assumptions!$B$11,EDATE('Case inputs'!D202,INT(D202))+ROUND(MOD(D202,1)*30.44,0))))</f>
        <v/>
      </c>
      <c r="G202" s="11" t="str">
        <f>IF(C202&lt;&gt;"OK","",IF(AND(B202="HEARING",'Case inputs'!F202&lt;&gt;"",'Case inputs'!F202&gt;=Assumptions!$B$5),"SCHEDULED",IF('Case inputs'!G202&lt;&gt;"","REVIEWED OVERRIDE",IF(F202&lt;Assumptions!$B$5,"OVERDUE: FUTURE WINDOW","BENCHMARK SCENARIO"))))</f>
        <v/>
      </c>
      <c r="H202" s="15" t="str">
        <f>IF(C202&lt;&gt;"OK","",IF(G202="SCHEDULED",'Case inputs'!F202,IF('Case inputs'!G202&lt;&gt;"",'Case inputs'!G202,IF(F202&lt;Assumptions!$B$5,EDATE(Assumptions!$B$5,Assumptions!$B$17),F202))))</f>
        <v/>
      </c>
      <c r="I202" s="16" t="str">
        <f t="shared" si="12"/>
        <v/>
      </c>
      <c r="J202" s="15" t="str">
        <f>IF(C202&lt;&gt;"OK","",IF(B202="INITIAL",EDATE(I202,Assumptions!$B$12)+Assumptions!$B$11,IF(B202="RECON",H202,"")))</f>
        <v/>
      </c>
      <c r="K202" s="15" t="str">
        <f>IF(C202&lt;&gt;"OK","",IF(B202="HEARING",'Case inputs'!D202,EDATE(J202,Assumptions!$B$13)))</f>
        <v/>
      </c>
      <c r="L202" s="15" t="str">
        <f>IF(C202&lt;&gt;"OK","",IF(G202="SCHEDULED",H202,EDATE(IF(B202="HEARING",H202,EDATE(K202,INT(D202))+ROUND(MOD(D202,1)*30.44,0)),Assumptions!$B$18)))</f>
        <v/>
      </c>
      <c r="M202" s="15" t="str">
        <f>IF(C202&lt;&gt;"OK","",EDATE(L202,Assumptions!$B$15))</f>
        <v/>
      </c>
      <c r="N202" s="17" t="str">
        <f>IF(C202&lt;&gt;"OK","",IF(B202="INITIAL",Assumptions!$B$21,0))</f>
        <v/>
      </c>
      <c r="O202" s="17" t="str">
        <f>IF(C202&lt;&gt;"OK","",IF(B202="INITIAL",(1-Assumptions!$B$21)*Assumptions!$B$24*Assumptions!$B$22,IF(B202="RECON",Assumptions!$B$22,0)))</f>
        <v/>
      </c>
      <c r="P202" s="17" t="str">
        <f>IF(C202&lt;&gt;"OK","",IF(B202="INITIAL",(1-Assumptions!$B$21)*Assumptions!$B$24*(1-Assumptions!$B$22)*Assumptions!$B$25,IF(B202="RECON",(1-Assumptions!$B$22)*Assumptions!$B$25,1)))</f>
        <v/>
      </c>
      <c r="Q202" s="17" t="str">
        <f>IF(C202&lt;&gt;"OK","",IF(B202="INITIAL",(1-Assumptions!$B$21)*(1-Assumptions!$B$24),0))</f>
        <v/>
      </c>
      <c r="R202" s="17" t="str">
        <f>IF(C202&lt;&gt;"OK","",IF(B202="INITIAL",(1-Assumptions!$B$21)*Assumptions!$B$24*(1-Assumptions!$B$22)*(1-Assumptions!$B$25),IF(B202="RECON",(1-Assumptions!$B$22)*(1-Assumptions!$B$25),0)))</f>
        <v/>
      </c>
      <c r="S202" s="17" t="str">
        <f>IF(C202&lt;&gt;"OK","",P202*Assumptions!$B$23)</f>
        <v/>
      </c>
      <c r="T202" s="17" t="str">
        <f>IF(C202&lt;&gt;"OK","",P202*(1-Assumptions!$B$23))</f>
        <v/>
      </c>
      <c r="U202" s="18" t="str">
        <f t="shared" si="13"/>
        <v/>
      </c>
      <c r="V202" s="15" t="str">
        <f>IF(C202&lt;&gt;"OK","",IF(B202="INITIAL",EDATE(I202,Assumptions!$B$14),""))</f>
        <v/>
      </c>
      <c r="W202" s="15" t="str">
        <f>IF(C202&lt;&gt;"OK","",IF(B202="HEARING","",EDATE(J202,Assumptions!$B$14)))</f>
        <v/>
      </c>
      <c r="X202" s="15" t="str">
        <f>IF(C202&lt;&gt;"OK","",EDATE(M202,Assumptions!$B$16))</f>
        <v/>
      </c>
    </row>
    <row r="203" spans="1:24" ht="22" customHeight="1">
      <c r="A203" s="11" t="str">
        <f>IF('Case inputs'!A203="","",'Case inputs'!A203)</f>
        <v/>
      </c>
      <c r="B203" s="11" t="str">
        <f>IF(A203="","",'Case inputs'!C203)</f>
        <v/>
      </c>
      <c r="C203" s="11" t="str">
        <f>IF('Case inputs'!I203="","",IF(Assumptions!$B$38&lt;&gt;"OK","ASSUMPTIONS INVALID",'Case inputs'!I203))</f>
        <v/>
      </c>
      <c r="D203" s="11" t="str">
        <f>IF(C203&lt;&gt;"OK","",VLOOKUP('Case inputs'!E203,Benchmarks!$A$6:$C$164,3,FALSE))</f>
        <v/>
      </c>
      <c r="E203" s="11" t="str">
        <f>IF(C203&lt;&gt;"OK","",Assumptions!$B$5-'Case inputs'!D203)</f>
        <v/>
      </c>
      <c r="F203" s="15" t="str">
        <f>IF(C203&lt;&gt;"OK","",IF(B203="INITIAL",'Case inputs'!D203+Assumptions!$B$10,IF(B203="RECON",'Case inputs'!D203+Assumptions!$B$11,EDATE('Case inputs'!D203,INT(D203))+ROUND(MOD(D203,1)*30.44,0))))</f>
        <v/>
      </c>
      <c r="G203" s="11" t="str">
        <f>IF(C203&lt;&gt;"OK","",IF(AND(B203="HEARING",'Case inputs'!F203&lt;&gt;"",'Case inputs'!F203&gt;=Assumptions!$B$5),"SCHEDULED",IF('Case inputs'!G203&lt;&gt;"","REVIEWED OVERRIDE",IF(F203&lt;Assumptions!$B$5,"OVERDUE: FUTURE WINDOW","BENCHMARK SCENARIO"))))</f>
        <v/>
      </c>
      <c r="H203" s="15" t="str">
        <f>IF(C203&lt;&gt;"OK","",IF(G203="SCHEDULED",'Case inputs'!F203,IF('Case inputs'!G203&lt;&gt;"",'Case inputs'!G203,IF(F203&lt;Assumptions!$B$5,EDATE(Assumptions!$B$5,Assumptions!$B$17),F203))))</f>
        <v/>
      </c>
      <c r="I203" s="16" t="str">
        <f t="shared" si="12"/>
        <v/>
      </c>
      <c r="J203" s="15" t="str">
        <f>IF(C203&lt;&gt;"OK","",IF(B203="INITIAL",EDATE(I203,Assumptions!$B$12)+Assumptions!$B$11,IF(B203="RECON",H203,"")))</f>
        <v/>
      </c>
      <c r="K203" s="15" t="str">
        <f>IF(C203&lt;&gt;"OK","",IF(B203="HEARING",'Case inputs'!D203,EDATE(J203,Assumptions!$B$13)))</f>
        <v/>
      </c>
      <c r="L203" s="15" t="str">
        <f>IF(C203&lt;&gt;"OK","",IF(G203="SCHEDULED",H203,EDATE(IF(B203="HEARING",H203,EDATE(K203,INT(D203))+ROUND(MOD(D203,1)*30.44,0)),Assumptions!$B$18)))</f>
        <v/>
      </c>
      <c r="M203" s="15" t="str">
        <f>IF(C203&lt;&gt;"OK","",EDATE(L203,Assumptions!$B$15))</f>
        <v/>
      </c>
      <c r="N203" s="17" t="str">
        <f>IF(C203&lt;&gt;"OK","",IF(B203="INITIAL",Assumptions!$B$21,0))</f>
        <v/>
      </c>
      <c r="O203" s="17" t="str">
        <f>IF(C203&lt;&gt;"OK","",IF(B203="INITIAL",(1-Assumptions!$B$21)*Assumptions!$B$24*Assumptions!$B$22,IF(B203="RECON",Assumptions!$B$22,0)))</f>
        <v/>
      </c>
      <c r="P203" s="17" t="str">
        <f>IF(C203&lt;&gt;"OK","",IF(B203="INITIAL",(1-Assumptions!$B$21)*Assumptions!$B$24*(1-Assumptions!$B$22)*Assumptions!$B$25,IF(B203="RECON",(1-Assumptions!$B$22)*Assumptions!$B$25,1)))</f>
        <v/>
      </c>
      <c r="Q203" s="17" t="str">
        <f>IF(C203&lt;&gt;"OK","",IF(B203="INITIAL",(1-Assumptions!$B$21)*(1-Assumptions!$B$24),0))</f>
        <v/>
      </c>
      <c r="R203" s="17" t="str">
        <f>IF(C203&lt;&gt;"OK","",IF(B203="INITIAL",(1-Assumptions!$B$21)*Assumptions!$B$24*(1-Assumptions!$B$22)*(1-Assumptions!$B$25),IF(B203="RECON",(1-Assumptions!$B$22)*(1-Assumptions!$B$25),0)))</f>
        <v/>
      </c>
      <c r="S203" s="17" t="str">
        <f>IF(C203&lt;&gt;"OK","",P203*Assumptions!$B$23)</f>
        <v/>
      </c>
      <c r="T203" s="17" t="str">
        <f>IF(C203&lt;&gt;"OK","",P203*(1-Assumptions!$B$23))</f>
        <v/>
      </c>
      <c r="U203" s="18" t="str">
        <f t="shared" si="13"/>
        <v/>
      </c>
      <c r="V203" s="15" t="str">
        <f>IF(C203&lt;&gt;"OK","",IF(B203="INITIAL",EDATE(I203,Assumptions!$B$14),""))</f>
        <v/>
      </c>
      <c r="W203" s="15" t="str">
        <f>IF(C203&lt;&gt;"OK","",IF(B203="HEARING","",EDATE(J203,Assumptions!$B$14)))</f>
        <v/>
      </c>
      <c r="X203" s="15" t="str">
        <f>IF(C203&lt;&gt;"OK","",EDATE(M203,Assumptions!$B$16))</f>
        <v/>
      </c>
    </row>
    <row r="204" spans="1:24" ht="22" customHeight="1">
      <c r="A204" s="11" t="str">
        <f>IF('Case inputs'!A204="","",'Case inputs'!A204)</f>
        <v/>
      </c>
      <c r="B204" s="11" t="str">
        <f>IF(A204="","",'Case inputs'!C204)</f>
        <v/>
      </c>
      <c r="C204" s="11" t="str">
        <f>IF('Case inputs'!I204="","",IF(Assumptions!$B$38&lt;&gt;"OK","ASSUMPTIONS INVALID",'Case inputs'!I204))</f>
        <v/>
      </c>
      <c r="D204" s="11" t="str">
        <f>IF(C204&lt;&gt;"OK","",VLOOKUP('Case inputs'!E204,Benchmarks!$A$6:$C$164,3,FALSE))</f>
        <v/>
      </c>
      <c r="E204" s="11" t="str">
        <f>IF(C204&lt;&gt;"OK","",Assumptions!$B$5-'Case inputs'!D204)</f>
        <v/>
      </c>
      <c r="F204" s="15" t="str">
        <f>IF(C204&lt;&gt;"OK","",IF(B204="INITIAL",'Case inputs'!D204+Assumptions!$B$10,IF(B204="RECON",'Case inputs'!D204+Assumptions!$B$11,EDATE('Case inputs'!D204,INT(D204))+ROUND(MOD(D204,1)*30.44,0))))</f>
        <v/>
      </c>
      <c r="G204" s="11" t="str">
        <f>IF(C204&lt;&gt;"OK","",IF(AND(B204="HEARING",'Case inputs'!F204&lt;&gt;"",'Case inputs'!F204&gt;=Assumptions!$B$5),"SCHEDULED",IF('Case inputs'!G204&lt;&gt;"","REVIEWED OVERRIDE",IF(F204&lt;Assumptions!$B$5,"OVERDUE: FUTURE WINDOW","BENCHMARK SCENARIO"))))</f>
        <v/>
      </c>
      <c r="H204" s="15" t="str">
        <f>IF(C204&lt;&gt;"OK","",IF(G204="SCHEDULED",'Case inputs'!F204,IF('Case inputs'!G204&lt;&gt;"",'Case inputs'!G204,IF(F204&lt;Assumptions!$B$5,EDATE(Assumptions!$B$5,Assumptions!$B$17),F204))))</f>
        <v/>
      </c>
      <c r="I204" s="16" t="str">
        <f t="shared" si="12"/>
        <v/>
      </c>
      <c r="J204" s="15" t="str">
        <f>IF(C204&lt;&gt;"OK","",IF(B204="INITIAL",EDATE(I204,Assumptions!$B$12)+Assumptions!$B$11,IF(B204="RECON",H204,"")))</f>
        <v/>
      </c>
      <c r="K204" s="15" t="str">
        <f>IF(C204&lt;&gt;"OK","",IF(B204="HEARING",'Case inputs'!D204,EDATE(J204,Assumptions!$B$13)))</f>
        <v/>
      </c>
      <c r="L204" s="15" t="str">
        <f>IF(C204&lt;&gt;"OK","",IF(G204="SCHEDULED",H204,EDATE(IF(B204="HEARING",H204,EDATE(K204,INT(D204))+ROUND(MOD(D204,1)*30.44,0)),Assumptions!$B$18)))</f>
        <v/>
      </c>
      <c r="M204" s="15" t="str">
        <f>IF(C204&lt;&gt;"OK","",EDATE(L204,Assumptions!$B$15))</f>
        <v/>
      </c>
      <c r="N204" s="17" t="str">
        <f>IF(C204&lt;&gt;"OK","",IF(B204="INITIAL",Assumptions!$B$21,0))</f>
        <v/>
      </c>
      <c r="O204" s="17" t="str">
        <f>IF(C204&lt;&gt;"OK","",IF(B204="INITIAL",(1-Assumptions!$B$21)*Assumptions!$B$24*Assumptions!$B$22,IF(B204="RECON",Assumptions!$B$22,0)))</f>
        <v/>
      </c>
      <c r="P204" s="17" t="str">
        <f>IF(C204&lt;&gt;"OK","",IF(B204="INITIAL",(1-Assumptions!$B$21)*Assumptions!$B$24*(1-Assumptions!$B$22)*Assumptions!$B$25,IF(B204="RECON",(1-Assumptions!$B$22)*Assumptions!$B$25,1)))</f>
        <v/>
      </c>
      <c r="Q204" s="17" t="str">
        <f>IF(C204&lt;&gt;"OK","",IF(B204="INITIAL",(1-Assumptions!$B$21)*(1-Assumptions!$B$24),0))</f>
        <v/>
      </c>
      <c r="R204" s="17" t="str">
        <f>IF(C204&lt;&gt;"OK","",IF(B204="INITIAL",(1-Assumptions!$B$21)*Assumptions!$B$24*(1-Assumptions!$B$22)*(1-Assumptions!$B$25),IF(B204="RECON",(1-Assumptions!$B$22)*(1-Assumptions!$B$25),0)))</f>
        <v/>
      </c>
      <c r="S204" s="17" t="str">
        <f>IF(C204&lt;&gt;"OK","",P204*Assumptions!$B$23)</f>
        <v/>
      </c>
      <c r="T204" s="17" t="str">
        <f>IF(C204&lt;&gt;"OK","",P204*(1-Assumptions!$B$23))</f>
        <v/>
      </c>
      <c r="U204" s="18" t="str">
        <f t="shared" si="13"/>
        <v/>
      </c>
      <c r="V204" s="15" t="str">
        <f>IF(C204&lt;&gt;"OK","",IF(B204="INITIAL",EDATE(I204,Assumptions!$B$14),""))</f>
        <v/>
      </c>
      <c r="W204" s="15" t="str">
        <f>IF(C204&lt;&gt;"OK","",IF(B204="HEARING","",EDATE(J204,Assumptions!$B$14)))</f>
        <v/>
      </c>
      <c r="X204" s="15" t="str">
        <f>IF(C204&lt;&gt;"OK","",EDATE(M204,Assumptions!$B$16))</f>
        <v/>
      </c>
    </row>
    <row r="205" spans="1:24" ht="22" customHeight="1">
      <c r="A205" s="11" t="str">
        <f>IF('Case inputs'!A205="","",'Case inputs'!A205)</f>
        <v/>
      </c>
      <c r="B205" s="11" t="str">
        <f>IF(A205="","",'Case inputs'!C205)</f>
        <v/>
      </c>
      <c r="C205" s="11" t="str">
        <f>IF('Case inputs'!I205="","",IF(Assumptions!$B$38&lt;&gt;"OK","ASSUMPTIONS INVALID",'Case inputs'!I205))</f>
        <v/>
      </c>
      <c r="D205" s="11" t="str">
        <f>IF(C205&lt;&gt;"OK","",VLOOKUP('Case inputs'!E205,Benchmarks!$A$6:$C$164,3,FALSE))</f>
        <v/>
      </c>
      <c r="E205" s="11" t="str">
        <f>IF(C205&lt;&gt;"OK","",Assumptions!$B$5-'Case inputs'!D205)</f>
        <v/>
      </c>
      <c r="F205" s="15" t="str">
        <f>IF(C205&lt;&gt;"OK","",IF(B205="INITIAL",'Case inputs'!D205+Assumptions!$B$10,IF(B205="RECON",'Case inputs'!D205+Assumptions!$B$11,EDATE('Case inputs'!D205,INT(D205))+ROUND(MOD(D205,1)*30.44,0))))</f>
        <v/>
      </c>
      <c r="G205" s="11" t="str">
        <f>IF(C205&lt;&gt;"OK","",IF(AND(B205="HEARING",'Case inputs'!F205&lt;&gt;"",'Case inputs'!F205&gt;=Assumptions!$B$5),"SCHEDULED",IF('Case inputs'!G205&lt;&gt;"","REVIEWED OVERRIDE",IF(F205&lt;Assumptions!$B$5,"OVERDUE: FUTURE WINDOW","BENCHMARK SCENARIO"))))</f>
        <v/>
      </c>
      <c r="H205" s="15" t="str">
        <f>IF(C205&lt;&gt;"OK","",IF(G205="SCHEDULED",'Case inputs'!F205,IF('Case inputs'!G205&lt;&gt;"",'Case inputs'!G205,IF(F205&lt;Assumptions!$B$5,EDATE(Assumptions!$B$5,Assumptions!$B$17),F205))))</f>
        <v/>
      </c>
      <c r="I205" s="16" t="str">
        <f t="shared" si="12"/>
        <v/>
      </c>
      <c r="J205" s="15" t="str">
        <f>IF(C205&lt;&gt;"OK","",IF(B205="INITIAL",EDATE(I205,Assumptions!$B$12)+Assumptions!$B$11,IF(B205="RECON",H205,"")))</f>
        <v/>
      </c>
      <c r="K205" s="15" t="str">
        <f>IF(C205&lt;&gt;"OK","",IF(B205="HEARING",'Case inputs'!D205,EDATE(J205,Assumptions!$B$13)))</f>
        <v/>
      </c>
      <c r="L205" s="15" t="str">
        <f>IF(C205&lt;&gt;"OK","",IF(G205="SCHEDULED",H205,EDATE(IF(B205="HEARING",H205,EDATE(K205,INT(D205))+ROUND(MOD(D205,1)*30.44,0)),Assumptions!$B$18)))</f>
        <v/>
      </c>
      <c r="M205" s="15" t="str">
        <f>IF(C205&lt;&gt;"OK","",EDATE(L205,Assumptions!$B$15))</f>
        <v/>
      </c>
      <c r="N205" s="17" t="str">
        <f>IF(C205&lt;&gt;"OK","",IF(B205="INITIAL",Assumptions!$B$21,0))</f>
        <v/>
      </c>
      <c r="O205" s="17" t="str">
        <f>IF(C205&lt;&gt;"OK","",IF(B205="INITIAL",(1-Assumptions!$B$21)*Assumptions!$B$24*Assumptions!$B$22,IF(B205="RECON",Assumptions!$B$22,0)))</f>
        <v/>
      </c>
      <c r="P205" s="17" t="str">
        <f>IF(C205&lt;&gt;"OK","",IF(B205="INITIAL",(1-Assumptions!$B$21)*Assumptions!$B$24*(1-Assumptions!$B$22)*Assumptions!$B$25,IF(B205="RECON",(1-Assumptions!$B$22)*Assumptions!$B$25,1)))</f>
        <v/>
      </c>
      <c r="Q205" s="17" t="str">
        <f>IF(C205&lt;&gt;"OK","",IF(B205="INITIAL",(1-Assumptions!$B$21)*(1-Assumptions!$B$24),0))</f>
        <v/>
      </c>
      <c r="R205" s="17" t="str">
        <f>IF(C205&lt;&gt;"OK","",IF(B205="INITIAL",(1-Assumptions!$B$21)*Assumptions!$B$24*(1-Assumptions!$B$22)*(1-Assumptions!$B$25),IF(B205="RECON",(1-Assumptions!$B$22)*(1-Assumptions!$B$25),0)))</f>
        <v/>
      </c>
      <c r="S205" s="17" t="str">
        <f>IF(C205&lt;&gt;"OK","",P205*Assumptions!$B$23)</f>
        <v/>
      </c>
      <c r="T205" s="17" t="str">
        <f>IF(C205&lt;&gt;"OK","",P205*(1-Assumptions!$B$23))</f>
        <v/>
      </c>
      <c r="U205" s="18" t="str">
        <f t="shared" si="13"/>
        <v/>
      </c>
      <c r="V205" s="15" t="str">
        <f>IF(C205&lt;&gt;"OK","",IF(B205="INITIAL",EDATE(I205,Assumptions!$B$14),""))</f>
        <v/>
      </c>
      <c r="W205" s="15" t="str">
        <f>IF(C205&lt;&gt;"OK","",IF(B205="HEARING","",EDATE(J205,Assumptions!$B$14)))</f>
        <v/>
      </c>
      <c r="X205" s="15" t="str">
        <f>IF(C205&lt;&gt;"OK","",EDATE(M205,Assumptions!$B$16))</f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BD5DF"/>
  </sheetPr>
  <dimension ref="A1:H605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4"/>
  <cols>
    <col min="1" max="7" width="17" customWidth="1"/>
    <col min="8" max="8" width="24" customWidth="1"/>
  </cols>
  <sheetData>
    <row r="1" spans="1:8" ht="22" customHeight="1">
      <c r="A1" s="1"/>
      <c r="B1" s="1"/>
      <c r="C1" s="1"/>
      <c r="D1" s="1"/>
      <c r="E1" s="1"/>
      <c r="F1" s="1"/>
      <c r="G1" s="1"/>
      <c r="H1" s="1"/>
    </row>
    <row r="2" spans="1:8" ht="22" customHeight="1">
      <c r="A2" s="2" t="s">
        <v>148</v>
      </c>
      <c r="B2" s="1"/>
      <c r="C2" s="1"/>
      <c r="D2" s="1"/>
      <c r="E2" s="1"/>
      <c r="F2" s="1"/>
      <c r="G2" s="1"/>
      <c r="H2" s="1"/>
    </row>
    <row r="3" spans="1:8" ht="22" customHeight="1">
      <c r="A3" s="1"/>
      <c r="B3" s="1"/>
      <c r="C3" s="1"/>
      <c r="D3" s="1"/>
      <c r="E3" s="1"/>
      <c r="F3" s="1"/>
      <c r="G3" s="1"/>
      <c r="H3" s="1"/>
    </row>
    <row r="4" spans="1:8" ht="22" customHeight="1">
      <c r="A4" s="1"/>
      <c r="B4" s="1"/>
      <c r="C4" s="1"/>
      <c r="D4" s="1"/>
      <c r="E4" s="1"/>
      <c r="F4" s="1"/>
      <c r="G4" s="1"/>
      <c r="H4" s="1"/>
    </row>
    <row r="5" spans="1:8" ht="42" customHeight="1">
      <c r="A5" s="3" t="s">
        <v>125</v>
      </c>
      <c r="B5" s="3" t="s">
        <v>126</v>
      </c>
      <c r="C5" s="3" t="s">
        <v>149</v>
      </c>
      <c r="D5" s="3" t="s">
        <v>58</v>
      </c>
      <c r="E5" s="3" t="s">
        <v>59</v>
      </c>
      <c r="F5" s="3" t="s">
        <v>60</v>
      </c>
      <c r="G5" s="3" t="s">
        <v>61</v>
      </c>
      <c r="H5" s="3" t="s">
        <v>150</v>
      </c>
    </row>
    <row r="6" spans="1:8" ht="22" customHeight="1">
      <c r="A6" s="1" t="str">
        <f>IF('Case calculations'!C6&lt;&gt;"OK","",'Case calculations'!A6)</f>
        <v>I-001</v>
      </c>
      <c r="B6" s="1" t="str">
        <f>IF(A6="","",'Case calculations'!B6)</f>
        <v>INITIAL</v>
      </c>
      <c r="C6" s="1" t="str">
        <f>IF(A6="","","INITIAL")</f>
        <v>INITIAL</v>
      </c>
      <c r="D6" s="19">
        <f>IF(A6="","",'Case calculations'!N6)</f>
        <v>0.15</v>
      </c>
      <c r="E6" s="10">
        <f>IF(A6="","",Assumptions!$B$28)</f>
        <v>2000</v>
      </c>
      <c r="F6" s="10">
        <f t="shared" ref="F6:F69" si="0">IF(A6="","",D6*E6)</f>
        <v>300</v>
      </c>
      <c r="G6" s="7">
        <f>IF(A6="","",IF(D6=0,"",'Case calculations'!V6))</f>
        <v>46423</v>
      </c>
      <c r="H6" s="1" t="str">
        <f>IF(A6="","",IF(D6=0,"NO PATH",IF(G6&lt;Assumptions!$B$5,"BEFORE AS-OF",IF(G6&gt;=Assumptions!$B$7,"BEYOND HORIZON","IN HORIZON"))))</f>
        <v>IN HORIZON</v>
      </c>
    </row>
    <row r="7" spans="1:8" ht="22" customHeight="1">
      <c r="A7" s="1" t="str">
        <f>IF('Case calculations'!C6&lt;&gt;"OK","",'Case calculations'!A6)</f>
        <v>I-001</v>
      </c>
      <c r="B7" s="1" t="str">
        <f>IF(A7="","",'Case calculations'!B6)</f>
        <v>INITIAL</v>
      </c>
      <c r="C7" s="1" t="str">
        <f>IF(A7="","","RECON")</f>
        <v>RECON</v>
      </c>
      <c r="D7" s="19">
        <f>IF(A7="","",'Case calculations'!O6)</f>
        <v>0.15300000000000002</v>
      </c>
      <c r="E7" s="10">
        <f>IF(A7="","",Assumptions!$B$29)</f>
        <v>3000</v>
      </c>
      <c r="F7" s="10">
        <f t="shared" si="0"/>
        <v>459.00000000000006</v>
      </c>
      <c r="G7" s="7">
        <f>IF(A7="","",IF(D7=0,"",'Case calculations'!W6))</f>
        <v>46665</v>
      </c>
      <c r="H7" s="1" t="str">
        <f>IF(A7="","",IF(D7=0,"NO PATH",IF(G7&lt;Assumptions!$B$5,"BEFORE AS-OF",IF(G7&gt;=Assumptions!$B$7,"BEYOND HORIZON","IN HORIZON"))))</f>
        <v>IN HORIZON</v>
      </c>
    </row>
    <row r="8" spans="1:8" ht="22" customHeight="1">
      <c r="A8" s="1" t="str">
        <f>IF('Case calculations'!C6&lt;&gt;"OK","",'Case calculations'!A6)</f>
        <v>I-001</v>
      </c>
      <c r="B8" s="1" t="str">
        <f>IF(A8="","",'Case calculations'!B6)</f>
        <v>INITIAL</v>
      </c>
      <c r="C8" s="1" t="str">
        <f>IF(A8="","","HEARING")</f>
        <v>HEARING</v>
      </c>
      <c r="D8" s="19">
        <f>IF(A8="","",'Case calculations'!S6)</f>
        <v>0.30294000000000004</v>
      </c>
      <c r="E8" s="10">
        <f>IF(A8="","",Assumptions!$B$30)</f>
        <v>4500</v>
      </c>
      <c r="F8" s="10">
        <f t="shared" si="0"/>
        <v>1363.2300000000002</v>
      </c>
      <c r="G8" s="7">
        <f>IF(A8="","",IF(D8=0,"",'Case calculations'!X6))</f>
        <v>47001</v>
      </c>
      <c r="H8" s="1" t="str">
        <f>IF(A8="","",IF(D8=0,"NO PATH",IF(G8&lt;Assumptions!$B$5,"BEFORE AS-OF",IF(G8&gt;=Assumptions!$B$7,"BEYOND HORIZON","IN HORIZON"))))</f>
        <v>IN HORIZON</v>
      </c>
    </row>
    <row r="9" spans="1:8" ht="22" customHeight="1">
      <c r="A9" s="1" t="str">
        <f>IF('Case calculations'!C7&lt;&gt;"OK","",'Case calculations'!A7)</f>
        <v>I-002</v>
      </c>
      <c r="B9" s="1" t="str">
        <f>IF(A9="","",'Case calculations'!B7)</f>
        <v>INITIAL</v>
      </c>
      <c r="C9" s="1" t="str">
        <f>IF(A9="","","INITIAL")</f>
        <v>INITIAL</v>
      </c>
      <c r="D9" s="19">
        <f>IF(A9="","",'Case calculations'!N7)</f>
        <v>0.15</v>
      </c>
      <c r="E9" s="10">
        <f>IF(A9="","",Assumptions!$B$28)</f>
        <v>2000</v>
      </c>
      <c r="F9" s="10">
        <f t="shared" si="0"/>
        <v>300</v>
      </c>
      <c r="G9" s="7">
        <f>IF(A9="","",IF(D9=0,"",'Case calculations'!V7))</f>
        <v>46423</v>
      </c>
      <c r="H9" s="1" t="str">
        <f>IF(A9="","",IF(D9=0,"NO PATH",IF(G9&lt;Assumptions!$B$5,"BEFORE AS-OF",IF(G9&gt;=Assumptions!$B$7,"BEYOND HORIZON","IN HORIZON"))))</f>
        <v>IN HORIZON</v>
      </c>
    </row>
    <row r="10" spans="1:8" ht="22" customHeight="1">
      <c r="A10" s="1" t="str">
        <f>IF('Case calculations'!C7&lt;&gt;"OK","",'Case calculations'!A7)</f>
        <v>I-002</v>
      </c>
      <c r="B10" s="1" t="str">
        <f>IF(A10="","",'Case calculations'!B7)</f>
        <v>INITIAL</v>
      </c>
      <c r="C10" s="1" t="str">
        <f>IF(A10="","","RECON")</f>
        <v>RECON</v>
      </c>
      <c r="D10" s="19">
        <f>IF(A10="","",'Case calculations'!O7)</f>
        <v>0.15300000000000002</v>
      </c>
      <c r="E10" s="10">
        <f>IF(A10="","",Assumptions!$B$29)</f>
        <v>3000</v>
      </c>
      <c r="F10" s="10">
        <f t="shared" si="0"/>
        <v>459.00000000000006</v>
      </c>
      <c r="G10" s="7">
        <f>IF(A10="","",IF(D10=0,"",'Case calculations'!W7))</f>
        <v>46665</v>
      </c>
      <c r="H10" s="1" t="str">
        <f>IF(A10="","",IF(D10=0,"NO PATH",IF(G10&lt;Assumptions!$B$5,"BEFORE AS-OF",IF(G10&gt;=Assumptions!$B$7,"BEYOND HORIZON","IN HORIZON"))))</f>
        <v>IN HORIZON</v>
      </c>
    </row>
    <row r="11" spans="1:8" ht="22" customHeight="1">
      <c r="A11" s="1" t="str">
        <f>IF('Case calculations'!C7&lt;&gt;"OK","",'Case calculations'!A7)</f>
        <v>I-002</v>
      </c>
      <c r="B11" s="1" t="str">
        <f>IF(A11="","",'Case calculations'!B7)</f>
        <v>INITIAL</v>
      </c>
      <c r="C11" s="1" t="str">
        <f>IF(A11="","","HEARING")</f>
        <v>HEARING</v>
      </c>
      <c r="D11" s="19">
        <f>IF(A11="","",'Case calculations'!S7)</f>
        <v>0.30294000000000004</v>
      </c>
      <c r="E11" s="10">
        <f>IF(A11="","",Assumptions!$B$30)</f>
        <v>4500</v>
      </c>
      <c r="F11" s="10">
        <f t="shared" si="0"/>
        <v>1363.2300000000002</v>
      </c>
      <c r="G11" s="7">
        <f>IF(A11="","",IF(D11=0,"",'Case calculations'!X7))</f>
        <v>47001</v>
      </c>
      <c r="H11" s="1" t="str">
        <f>IF(A11="","",IF(D11=0,"NO PATH",IF(G11&lt;Assumptions!$B$5,"BEFORE AS-OF",IF(G11&gt;=Assumptions!$B$7,"BEYOND HORIZON","IN HORIZON"))))</f>
        <v>IN HORIZON</v>
      </c>
    </row>
    <row r="12" spans="1:8" ht="22" customHeight="1">
      <c r="A12" s="1" t="str">
        <f>IF('Case calculations'!C8&lt;&gt;"OK","",'Case calculations'!A8)</f>
        <v>I-003</v>
      </c>
      <c r="B12" s="1" t="str">
        <f>IF(A12="","",'Case calculations'!B8)</f>
        <v>INITIAL</v>
      </c>
      <c r="C12" s="1" t="str">
        <f>IF(A12="","","INITIAL")</f>
        <v>INITIAL</v>
      </c>
      <c r="D12" s="19">
        <f>IF(A12="","",'Case calculations'!N8)</f>
        <v>0.15</v>
      </c>
      <c r="E12" s="10">
        <f>IF(A12="","",Assumptions!$B$28)</f>
        <v>2000</v>
      </c>
      <c r="F12" s="10">
        <f t="shared" si="0"/>
        <v>300</v>
      </c>
      <c r="G12" s="7">
        <f>IF(A12="","",IF(D12=0,"",'Case calculations'!V8))</f>
        <v>46423</v>
      </c>
      <c r="H12" s="1" t="str">
        <f>IF(A12="","",IF(D12=0,"NO PATH",IF(G12&lt;Assumptions!$B$5,"BEFORE AS-OF",IF(G12&gt;=Assumptions!$B$7,"BEYOND HORIZON","IN HORIZON"))))</f>
        <v>IN HORIZON</v>
      </c>
    </row>
    <row r="13" spans="1:8" ht="22" customHeight="1">
      <c r="A13" s="1" t="str">
        <f>IF('Case calculations'!C8&lt;&gt;"OK","",'Case calculations'!A8)</f>
        <v>I-003</v>
      </c>
      <c r="B13" s="1" t="str">
        <f>IF(A13="","",'Case calculations'!B8)</f>
        <v>INITIAL</v>
      </c>
      <c r="C13" s="1" t="str">
        <f>IF(A13="","","RECON")</f>
        <v>RECON</v>
      </c>
      <c r="D13" s="19">
        <f>IF(A13="","",'Case calculations'!O8)</f>
        <v>0.15300000000000002</v>
      </c>
      <c r="E13" s="10">
        <f>IF(A13="","",Assumptions!$B$29)</f>
        <v>3000</v>
      </c>
      <c r="F13" s="10">
        <f t="shared" si="0"/>
        <v>459.00000000000006</v>
      </c>
      <c r="G13" s="7">
        <f>IF(A13="","",IF(D13=0,"",'Case calculations'!W8))</f>
        <v>46665</v>
      </c>
      <c r="H13" s="1" t="str">
        <f>IF(A13="","",IF(D13=0,"NO PATH",IF(G13&lt;Assumptions!$B$5,"BEFORE AS-OF",IF(G13&gt;=Assumptions!$B$7,"BEYOND HORIZON","IN HORIZON"))))</f>
        <v>IN HORIZON</v>
      </c>
    </row>
    <row r="14" spans="1:8" ht="22" customHeight="1">
      <c r="A14" s="1" t="str">
        <f>IF('Case calculations'!C8&lt;&gt;"OK","",'Case calculations'!A8)</f>
        <v>I-003</v>
      </c>
      <c r="B14" s="1" t="str">
        <f>IF(A14="","",'Case calculations'!B8)</f>
        <v>INITIAL</v>
      </c>
      <c r="C14" s="1" t="str">
        <f>IF(A14="","","HEARING")</f>
        <v>HEARING</v>
      </c>
      <c r="D14" s="19">
        <f>IF(A14="","",'Case calculations'!S8)</f>
        <v>0.30294000000000004</v>
      </c>
      <c r="E14" s="10">
        <f>IF(A14="","",Assumptions!$B$30)</f>
        <v>4500</v>
      </c>
      <c r="F14" s="10">
        <f t="shared" si="0"/>
        <v>1363.2300000000002</v>
      </c>
      <c r="G14" s="7">
        <f>IF(A14="","",IF(D14=0,"",'Case calculations'!X8))</f>
        <v>47001</v>
      </c>
      <c r="H14" s="1" t="str">
        <f>IF(A14="","",IF(D14=0,"NO PATH",IF(G14&lt;Assumptions!$B$5,"BEFORE AS-OF",IF(G14&gt;=Assumptions!$B$7,"BEYOND HORIZON","IN HORIZON"))))</f>
        <v>IN HORIZON</v>
      </c>
    </row>
    <row r="15" spans="1:8" ht="22" customHeight="1">
      <c r="A15" s="1" t="str">
        <f>IF('Case calculations'!C9&lt;&gt;"OK","",'Case calculations'!A9)</f>
        <v>I-004</v>
      </c>
      <c r="B15" s="1" t="str">
        <f>IF(A15="","",'Case calculations'!B9)</f>
        <v>INITIAL</v>
      </c>
      <c r="C15" s="1" t="str">
        <f>IF(A15="","","INITIAL")</f>
        <v>INITIAL</v>
      </c>
      <c r="D15" s="19">
        <f>IF(A15="","",'Case calculations'!N9)</f>
        <v>0.15</v>
      </c>
      <c r="E15" s="10">
        <f>IF(A15="","",Assumptions!$B$28)</f>
        <v>2000</v>
      </c>
      <c r="F15" s="10">
        <f t="shared" si="0"/>
        <v>300</v>
      </c>
      <c r="G15" s="7">
        <f>IF(A15="","",IF(D15=0,"",'Case calculations'!V9))</f>
        <v>46423</v>
      </c>
      <c r="H15" s="1" t="str">
        <f>IF(A15="","",IF(D15=0,"NO PATH",IF(G15&lt;Assumptions!$B$5,"BEFORE AS-OF",IF(G15&gt;=Assumptions!$B$7,"BEYOND HORIZON","IN HORIZON"))))</f>
        <v>IN HORIZON</v>
      </c>
    </row>
    <row r="16" spans="1:8" ht="22" customHeight="1">
      <c r="A16" s="1" t="str">
        <f>IF('Case calculations'!C9&lt;&gt;"OK","",'Case calculations'!A9)</f>
        <v>I-004</v>
      </c>
      <c r="B16" s="1" t="str">
        <f>IF(A16="","",'Case calculations'!B9)</f>
        <v>INITIAL</v>
      </c>
      <c r="C16" s="1" t="str">
        <f>IF(A16="","","RECON")</f>
        <v>RECON</v>
      </c>
      <c r="D16" s="19">
        <f>IF(A16="","",'Case calculations'!O9)</f>
        <v>0.15300000000000002</v>
      </c>
      <c r="E16" s="10">
        <f>IF(A16="","",Assumptions!$B$29)</f>
        <v>3000</v>
      </c>
      <c r="F16" s="10">
        <f t="shared" si="0"/>
        <v>459.00000000000006</v>
      </c>
      <c r="G16" s="7">
        <f>IF(A16="","",IF(D16=0,"",'Case calculations'!W9))</f>
        <v>46665</v>
      </c>
      <c r="H16" s="1" t="str">
        <f>IF(A16="","",IF(D16=0,"NO PATH",IF(G16&lt;Assumptions!$B$5,"BEFORE AS-OF",IF(G16&gt;=Assumptions!$B$7,"BEYOND HORIZON","IN HORIZON"))))</f>
        <v>IN HORIZON</v>
      </c>
    </row>
    <row r="17" spans="1:8" ht="22" customHeight="1">
      <c r="A17" s="1" t="str">
        <f>IF('Case calculations'!C9&lt;&gt;"OK","",'Case calculations'!A9)</f>
        <v>I-004</v>
      </c>
      <c r="B17" s="1" t="str">
        <f>IF(A17="","",'Case calculations'!B9)</f>
        <v>INITIAL</v>
      </c>
      <c r="C17" s="1" t="str">
        <f>IF(A17="","","HEARING")</f>
        <v>HEARING</v>
      </c>
      <c r="D17" s="19">
        <f>IF(A17="","",'Case calculations'!S9)</f>
        <v>0.30294000000000004</v>
      </c>
      <c r="E17" s="10">
        <f>IF(A17="","",Assumptions!$B$30)</f>
        <v>4500</v>
      </c>
      <c r="F17" s="10">
        <f t="shared" si="0"/>
        <v>1363.2300000000002</v>
      </c>
      <c r="G17" s="7">
        <f>IF(A17="","",IF(D17=0,"",'Case calculations'!X9))</f>
        <v>47001</v>
      </c>
      <c r="H17" s="1" t="str">
        <f>IF(A17="","",IF(D17=0,"NO PATH",IF(G17&lt;Assumptions!$B$5,"BEFORE AS-OF",IF(G17&gt;=Assumptions!$B$7,"BEYOND HORIZON","IN HORIZON"))))</f>
        <v>IN HORIZON</v>
      </c>
    </row>
    <row r="18" spans="1:8" ht="22" customHeight="1">
      <c r="A18" s="1" t="str">
        <f>IF('Case calculations'!C10&lt;&gt;"OK","",'Case calculations'!A10)</f>
        <v>I-005</v>
      </c>
      <c r="B18" s="1" t="str">
        <f>IF(A18="","",'Case calculations'!B10)</f>
        <v>INITIAL</v>
      </c>
      <c r="C18" s="1" t="str">
        <f>IF(A18="","","INITIAL")</f>
        <v>INITIAL</v>
      </c>
      <c r="D18" s="19">
        <f>IF(A18="","",'Case calculations'!N10)</f>
        <v>0.15</v>
      </c>
      <c r="E18" s="10">
        <f>IF(A18="","",Assumptions!$B$28)</f>
        <v>2000</v>
      </c>
      <c r="F18" s="10">
        <f t="shared" si="0"/>
        <v>300</v>
      </c>
      <c r="G18" s="7">
        <f>IF(A18="","",IF(D18=0,"",'Case calculations'!V10))</f>
        <v>46423</v>
      </c>
      <c r="H18" s="1" t="str">
        <f>IF(A18="","",IF(D18=0,"NO PATH",IF(G18&lt;Assumptions!$B$5,"BEFORE AS-OF",IF(G18&gt;=Assumptions!$B$7,"BEYOND HORIZON","IN HORIZON"))))</f>
        <v>IN HORIZON</v>
      </c>
    </row>
    <row r="19" spans="1:8" ht="22" customHeight="1">
      <c r="A19" s="1" t="str">
        <f>IF('Case calculations'!C10&lt;&gt;"OK","",'Case calculations'!A10)</f>
        <v>I-005</v>
      </c>
      <c r="B19" s="1" t="str">
        <f>IF(A19="","",'Case calculations'!B10)</f>
        <v>INITIAL</v>
      </c>
      <c r="C19" s="1" t="str">
        <f>IF(A19="","","RECON")</f>
        <v>RECON</v>
      </c>
      <c r="D19" s="19">
        <f>IF(A19="","",'Case calculations'!O10)</f>
        <v>0.15300000000000002</v>
      </c>
      <c r="E19" s="10">
        <f>IF(A19="","",Assumptions!$B$29)</f>
        <v>3000</v>
      </c>
      <c r="F19" s="10">
        <f t="shared" si="0"/>
        <v>459.00000000000006</v>
      </c>
      <c r="G19" s="7">
        <f>IF(A19="","",IF(D19=0,"",'Case calculations'!W10))</f>
        <v>46665</v>
      </c>
      <c r="H19" s="1" t="str">
        <f>IF(A19="","",IF(D19=0,"NO PATH",IF(G19&lt;Assumptions!$B$5,"BEFORE AS-OF",IF(G19&gt;=Assumptions!$B$7,"BEYOND HORIZON","IN HORIZON"))))</f>
        <v>IN HORIZON</v>
      </c>
    </row>
    <row r="20" spans="1:8" ht="22" customHeight="1">
      <c r="A20" s="1" t="str">
        <f>IF('Case calculations'!C10&lt;&gt;"OK","",'Case calculations'!A10)</f>
        <v>I-005</v>
      </c>
      <c r="B20" s="1" t="str">
        <f>IF(A20="","",'Case calculations'!B10)</f>
        <v>INITIAL</v>
      </c>
      <c r="C20" s="1" t="str">
        <f>IF(A20="","","HEARING")</f>
        <v>HEARING</v>
      </c>
      <c r="D20" s="19">
        <f>IF(A20="","",'Case calculations'!S10)</f>
        <v>0.30294000000000004</v>
      </c>
      <c r="E20" s="10">
        <f>IF(A20="","",Assumptions!$B$30)</f>
        <v>4500</v>
      </c>
      <c r="F20" s="10">
        <f t="shared" si="0"/>
        <v>1363.2300000000002</v>
      </c>
      <c r="G20" s="7">
        <f>IF(A20="","",IF(D20=0,"",'Case calculations'!X10))</f>
        <v>47001</v>
      </c>
      <c r="H20" s="1" t="str">
        <f>IF(A20="","",IF(D20=0,"NO PATH",IF(G20&lt;Assumptions!$B$5,"BEFORE AS-OF",IF(G20&gt;=Assumptions!$B$7,"BEYOND HORIZON","IN HORIZON"))))</f>
        <v>IN HORIZON</v>
      </c>
    </row>
    <row r="21" spans="1:8" ht="22" customHeight="1">
      <c r="A21" s="1" t="str">
        <f>IF('Case calculations'!C11&lt;&gt;"OK","",'Case calculations'!A11)</f>
        <v>I-006</v>
      </c>
      <c r="B21" s="1" t="str">
        <f>IF(A21="","",'Case calculations'!B11)</f>
        <v>INITIAL</v>
      </c>
      <c r="C21" s="1" t="str">
        <f>IF(A21="","","INITIAL")</f>
        <v>INITIAL</v>
      </c>
      <c r="D21" s="19">
        <f>IF(A21="","",'Case calculations'!N11)</f>
        <v>0.15</v>
      </c>
      <c r="E21" s="10">
        <f>IF(A21="","",Assumptions!$B$28)</f>
        <v>2000</v>
      </c>
      <c r="F21" s="10">
        <f t="shared" si="0"/>
        <v>300</v>
      </c>
      <c r="G21" s="7">
        <f>IF(A21="","",IF(D21=0,"",'Case calculations'!V11))</f>
        <v>46423</v>
      </c>
      <c r="H21" s="1" t="str">
        <f>IF(A21="","",IF(D21=0,"NO PATH",IF(G21&lt;Assumptions!$B$5,"BEFORE AS-OF",IF(G21&gt;=Assumptions!$B$7,"BEYOND HORIZON","IN HORIZON"))))</f>
        <v>IN HORIZON</v>
      </c>
    </row>
    <row r="22" spans="1:8" ht="22" customHeight="1">
      <c r="A22" s="1" t="str">
        <f>IF('Case calculations'!C11&lt;&gt;"OK","",'Case calculations'!A11)</f>
        <v>I-006</v>
      </c>
      <c r="B22" s="1" t="str">
        <f>IF(A22="","",'Case calculations'!B11)</f>
        <v>INITIAL</v>
      </c>
      <c r="C22" s="1" t="str">
        <f>IF(A22="","","RECON")</f>
        <v>RECON</v>
      </c>
      <c r="D22" s="19">
        <f>IF(A22="","",'Case calculations'!O11)</f>
        <v>0.15300000000000002</v>
      </c>
      <c r="E22" s="10">
        <f>IF(A22="","",Assumptions!$B$29)</f>
        <v>3000</v>
      </c>
      <c r="F22" s="10">
        <f t="shared" si="0"/>
        <v>459.00000000000006</v>
      </c>
      <c r="G22" s="7">
        <f>IF(A22="","",IF(D22=0,"",'Case calculations'!W11))</f>
        <v>46665</v>
      </c>
      <c r="H22" s="1" t="str">
        <f>IF(A22="","",IF(D22=0,"NO PATH",IF(G22&lt;Assumptions!$B$5,"BEFORE AS-OF",IF(G22&gt;=Assumptions!$B$7,"BEYOND HORIZON","IN HORIZON"))))</f>
        <v>IN HORIZON</v>
      </c>
    </row>
    <row r="23" spans="1:8" ht="22" customHeight="1">
      <c r="A23" s="1" t="str">
        <f>IF('Case calculations'!C11&lt;&gt;"OK","",'Case calculations'!A11)</f>
        <v>I-006</v>
      </c>
      <c r="B23" s="1" t="str">
        <f>IF(A23="","",'Case calculations'!B11)</f>
        <v>INITIAL</v>
      </c>
      <c r="C23" s="1" t="str">
        <f>IF(A23="","","HEARING")</f>
        <v>HEARING</v>
      </c>
      <c r="D23" s="19">
        <f>IF(A23="","",'Case calculations'!S11)</f>
        <v>0.30294000000000004</v>
      </c>
      <c r="E23" s="10">
        <f>IF(A23="","",Assumptions!$B$30)</f>
        <v>4500</v>
      </c>
      <c r="F23" s="10">
        <f t="shared" si="0"/>
        <v>1363.2300000000002</v>
      </c>
      <c r="G23" s="7">
        <f>IF(A23="","",IF(D23=0,"",'Case calculations'!X11))</f>
        <v>47001</v>
      </c>
      <c r="H23" s="1" t="str">
        <f>IF(A23="","",IF(D23=0,"NO PATH",IF(G23&lt;Assumptions!$B$5,"BEFORE AS-OF",IF(G23&gt;=Assumptions!$B$7,"BEYOND HORIZON","IN HORIZON"))))</f>
        <v>IN HORIZON</v>
      </c>
    </row>
    <row r="24" spans="1:8" ht="22" customHeight="1">
      <c r="A24" s="1" t="str">
        <f>IF('Case calculations'!C12&lt;&gt;"OK","",'Case calculations'!A12)</f>
        <v>I-007</v>
      </c>
      <c r="B24" s="1" t="str">
        <f>IF(A24="","",'Case calculations'!B12)</f>
        <v>INITIAL</v>
      </c>
      <c r="C24" s="1" t="str">
        <f>IF(A24="","","INITIAL")</f>
        <v>INITIAL</v>
      </c>
      <c r="D24" s="19">
        <f>IF(A24="","",'Case calculations'!N12)</f>
        <v>0.15</v>
      </c>
      <c r="E24" s="10">
        <f>IF(A24="","",Assumptions!$B$28)</f>
        <v>2000</v>
      </c>
      <c r="F24" s="10">
        <f t="shared" si="0"/>
        <v>300</v>
      </c>
      <c r="G24" s="7">
        <f>IF(A24="","",IF(D24=0,"",'Case calculations'!V12))</f>
        <v>46423</v>
      </c>
      <c r="H24" s="1" t="str">
        <f>IF(A24="","",IF(D24=0,"NO PATH",IF(G24&lt;Assumptions!$B$5,"BEFORE AS-OF",IF(G24&gt;=Assumptions!$B$7,"BEYOND HORIZON","IN HORIZON"))))</f>
        <v>IN HORIZON</v>
      </c>
    </row>
    <row r="25" spans="1:8" ht="22" customHeight="1">
      <c r="A25" s="1" t="str">
        <f>IF('Case calculations'!C12&lt;&gt;"OK","",'Case calculations'!A12)</f>
        <v>I-007</v>
      </c>
      <c r="B25" s="1" t="str">
        <f>IF(A25="","",'Case calculations'!B12)</f>
        <v>INITIAL</v>
      </c>
      <c r="C25" s="1" t="str">
        <f>IF(A25="","","RECON")</f>
        <v>RECON</v>
      </c>
      <c r="D25" s="19">
        <f>IF(A25="","",'Case calculations'!O12)</f>
        <v>0.15300000000000002</v>
      </c>
      <c r="E25" s="10">
        <f>IF(A25="","",Assumptions!$B$29)</f>
        <v>3000</v>
      </c>
      <c r="F25" s="10">
        <f t="shared" si="0"/>
        <v>459.00000000000006</v>
      </c>
      <c r="G25" s="7">
        <f>IF(A25="","",IF(D25=0,"",'Case calculations'!W12))</f>
        <v>46665</v>
      </c>
      <c r="H25" s="1" t="str">
        <f>IF(A25="","",IF(D25=0,"NO PATH",IF(G25&lt;Assumptions!$B$5,"BEFORE AS-OF",IF(G25&gt;=Assumptions!$B$7,"BEYOND HORIZON","IN HORIZON"))))</f>
        <v>IN HORIZON</v>
      </c>
    </row>
    <row r="26" spans="1:8" ht="22" customHeight="1">
      <c r="A26" s="1" t="str">
        <f>IF('Case calculations'!C12&lt;&gt;"OK","",'Case calculations'!A12)</f>
        <v>I-007</v>
      </c>
      <c r="B26" s="1" t="str">
        <f>IF(A26="","",'Case calculations'!B12)</f>
        <v>INITIAL</v>
      </c>
      <c r="C26" s="1" t="str">
        <f>IF(A26="","","HEARING")</f>
        <v>HEARING</v>
      </c>
      <c r="D26" s="19">
        <f>IF(A26="","",'Case calculations'!S12)</f>
        <v>0.30294000000000004</v>
      </c>
      <c r="E26" s="10">
        <f>IF(A26="","",Assumptions!$B$30)</f>
        <v>4500</v>
      </c>
      <c r="F26" s="10">
        <f t="shared" si="0"/>
        <v>1363.2300000000002</v>
      </c>
      <c r="G26" s="7">
        <f>IF(A26="","",IF(D26=0,"",'Case calculations'!X12))</f>
        <v>47001</v>
      </c>
      <c r="H26" s="1" t="str">
        <f>IF(A26="","",IF(D26=0,"NO PATH",IF(G26&lt;Assumptions!$B$5,"BEFORE AS-OF",IF(G26&gt;=Assumptions!$B$7,"BEYOND HORIZON","IN HORIZON"))))</f>
        <v>IN HORIZON</v>
      </c>
    </row>
    <row r="27" spans="1:8" ht="22" customHeight="1">
      <c r="A27" s="1" t="str">
        <f>IF('Case calculations'!C13&lt;&gt;"OK","",'Case calculations'!A13)</f>
        <v>I-008</v>
      </c>
      <c r="B27" s="1" t="str">
        <f>IF(A27="","",'Case calculations'!B13)</f>
        <v>INITIAL</v>
      </c>
      <c r="C27" s="1" t="str">
        <f>IF(A27="","","INITIAL")</f>
        <v>INITIAL</v>
      </c>
      <c r="D27" s="19">
        <f>IF(A27="","",'Case calculations'!N13)</f>
        <v>0.15</v>
      </c>
      <c r="E27" s="10">
        <f>IF(A27="","",Assumptions!$B$28)</f>
        <v>2000</v>
      </c>
      <c r="F27" s="10">
        <f t="shared" si="0"/>
        <v>300</v>
      </c>
      <c r="G27" s="7">
        <f>IF(A27="","",IF(D27=0,"",'Case calculations'!V13))</f>
        <v>46423</v>
      </c>
      <c r="H27" s="1" t="str">
        <f>IF(A27="","",IF(D27=0,"NO PATH",IF(G27&lt;Assumptions!$B$5,"BEFORE AS-OF",IF(G27&gt;=Assumptions!$B$7,"BEYOND HORIZON","IN HORIZON"))))</f>
        <v>IN HORIZON</v>
      </c>
    </row>
    <row r="28" spans="1:8" ht="22" customHeight="1">
      <c r="A28" s="1" t="str">
        <f>IF('Case calculations'!C13&lt;&gt;"OK","",'Case calculations'!A13)</f>
        <v>I-008</v>
      </c>
      <c r="B28" s="1" t="str">
        <f>IF(A28="","",'Case calculations'!B13)</f>
        <v>INITIAL</v>
      </c>
      <c r="C28" s="1" t="str">
        <f>IF(A28="","","RECON")</f>
        <v>RECON</v>
      </c>
      <c r="D28" s="19">
        <f>IF(A28="","",'Case calculations'!O13)</f>
        <v>0.15300000000000002</v>
      </c>
      <c r="E28" s="10">
        <f>IF(A28="","",Assumptions!$B$29)</f>
        <v>3000</v>
      </c>
      <c r="F28" s="10">
        <f t="shared" si="0"/>
        <v>459.00000000000006</v>
      </c>
      <c r="G28" s="7">
        <f>IF(A28="","",IF(D28=0,"",'Case calculations'!W13))</f>
        <v>46665</v>
      </c>
      <c r="H28" s="1" t="str">
        <f>IF(A28="","",IF(D28=0,"NO PATH",IF(G28&lt;Assumptions!$B$5,"BEFORE AS-OF",IF(G28&gt;=Assumptions!$B$7,"BEYOND HORIZON","IN HORIZON"))))</f>
        <v>IN HORIZON</v>
      </c>
    </row>
    <row r="29" spans="1:8" ht="22" customHeight="1">
      <c r="A29" s="1" t="str">
        <f>IF('Case calculations'!C13&lt;&gt;"OK","",'Case calculations'!A13)</f>
        <v>I-008</v>
      </c>
      <c r="B29" s="1" t="str">
        <f>IF(A29="","",'Case calculations'!B13)</f>
        <v>INITIAL</v>
      </c>
      <c r="C29" s="1" t="str">
        <f>IF(A29="","","HEARING")</f>
        <v>HEARING</v>
      </c>
      <c r="D29" s="19">
        <f>IF(A29="","",'Case calculations'!S13)</f>
        <v>0.30294000000000004</v>
      </c>
      <c r="E29" s="10">
        <f>IF(A29="","",Assumptions!$B$30)</f>
        <v>4500</v>
      </c>
      <c r="F29" s="10">
        <f t="shared" si="0"/>
        <v>1363.2300000000002</v>
      </c>
      <c r="G29" s="7">
        <f>IF(A29="","",IF(D29=0,"",'Case calculations'!X13))</f>
        <v>47001</v>
      </c>
      <c r="H29" s="1" t="str">
        <f>IF(A29="","",IF(D29=0,"NO PATH",IF(G29&lt;Assumptions!$B$5,"BEFORE AS-OF",IF(G29&gt;=Assumptions!$B$7,"BEYOND HORIZON","IN HORIZON"))))</f>
        <v>IN HORIZON</v>
      </c>
    </row>
    <row r="30" spans="1:8" ht="22" customHeight="1">
      <c r="A30" s="1" t="str">
        <f>IF('Case calculations'!C14&lt;&gt;"OK","",'Case calculations'!A14)</f>
        <v>I-009</v>
      </c>
      <c r="B30" s="1" t="str">
        <f>IF(A30="","",'Case calculations'!B14)</f>
        <v>INITIAL</v>
      </c>
      <c r="C30" s="1" t="str">
        <f>IF(A30="","","INITIAL")</f>
        <v>INITIAL</v>
      </c>
      <c r="D30" s="19">
        <f>IF(A30="","",'Case calculations'!N14)</f>
        <v>0.15</v>
      </c>
      <c r="E30" s="10">
        <f>IF(A30="","",Assumptions!$B$28)</f>
        <v>2000</v>
      </c>
      <c r="F30" s="10">
        <f t="shared" si="0"/>
        <v>300</v>
      </c>
      <c r="G30" s="7">
        <f>IF(A30="","",IF(D30=0,"",'Case calculations'!V14))</f>
        <v>46423</v>
      </c>
      <c r="H30" s="1" t="str">
        <f>IF(A30="","",IF(D30=0,"NO PATH",IF(G30&lt;Assumptions!$B$5,"BEFORE AS-OF",IF(G30&gt;=Assumptions!$B$7,"BEYOND HORIZON","IN HORIZON"))))</f>
        <v>IN HORIZON</v>
      </c>
    </row>
    <row r="31" spans="1:8" ht="22" customHeight="1">
      <c r="A31" s="1" t="str">
        <f>IF('Case calculations'!C14&lt;&gt;"OK","",'Case calculations'!A14)</f>
        <v>I-009</v>
      </c>
      <c r="B31" s="1" t="str">
        <f>IF(A31="","",'Case calculations'!B14)</f>
        <v>INITIAL</v>
      </c>
      <c r="C31" s="1" t="str">
        <f>IF(A31="","","RECON")</f>
        <v>RECON</v>
      </c>
      <c r="D31" s="19">
        <f>IF(A31="","",'Case calculations'!O14)</f>
        <v>0.15300000000000002</v>
      </c>
      <c r="E31" s="10">
        <f>IF(A31="","",Assumptions!$B$29)</f>
        <v>3000</v>
      </c>
      <c r="F31" s="10">
        <f t="shared" si="0"/>
        <v>459.00000000000006</v>
      </c>
      <c r="G31" s="7">
        <f>IF(A31="","",IF(D31=0,"",'Case calculations'!W14))</f>
        <v>46665</v>
      </c>
      <c r="H31" s="1" t="str">
        <f>IF(A31="","",IF(D31=0,"NO PATH",IF(G31&lt;Assumptions!$B$5,"BEFORE AS-OF",IF(G31&gt;=Assumptions!$B$7,"BEYOND HORIZON","IN HORIZON"))))</f>
        <v>IN HORIZON</v>
      </c>
    </row>
    <row r="32" spans="1:8" ht="22" customHeight="1">
      <c r="A32" s="1" t="str">
        <f>IF('Case calculations'!C14&lt;&gt;"OK","",'Case calculations'!A14)</f>
        <v>I-009</v>
      </c>
      <c r="B32" s="1" t="str">
        <f>IF(A32="","",'Case calculations'!B14)</f>
        <v>INITIAL</v>
      </c>
      <c r="C32" s="1" t="str">
        <f>IF(A32="","","HEARING")</f>
        <v>HEARING</v>
      </c>
      <c r="D32" s="19">
        <f>IF(A32="","",'Case calculations'!S14)</f>
        <v>0.30294000000000004</v>
      </c>
      <c r="E32" s="10">
        <f>IF(A32="","",Assumptions!$B$30)</f>
        <v>4500</v>
      </c>
      <c r="F32" s="10">
        <f t="shared" si="0"/>
        <v>1363.2300000000002</v>
      </c>
      <c r="G32" s="7">
        <f>IF(A32="","",IF(D32=0,"",'Case calculations'!X14))</f>
        <v>47001</v>
      </c>
      <c r="H32" s="1" t="str">
        <f>IF(A32="","",IF(D32=0,"NO PATH",IF(G32&lt;Assumptions!$B$5,"BEFORE AS-OF",IF(G32&gt;=Assumptions!$B$7,"BEYOND HORIZON","IN HORIZON"))))</f>
        <v>IN HORIZON</v>
      </c>
    </row>
    <row r="33" spans="1:8" ht="22" customHeight="1">
      <c r="A33" s="1" t="str">
        <f>IF('Case calculations'!C15&lt;&gt;"OK","",'Case calculations'!A15)</f>
        <v>I-010</v>
      </c>
      <c r="B33" s="1" t="str">
        <f>IF(A33="","",'Case calculations'!B15)</f>
        <v>INITIAL</v>
      </c>
      <c r="C33" s="1" t="str">
        <f>IF(A33="","","INITIAL")</f>
        <v>INITIAL</v>
      </c>
      <c r="D33" s="19">
        <f>IF(A33="","",'Case calculations'!N15)</f>
        <v>0.15</v>
      </c>
      <c r="E33" s="10">
        <f>IF(A33="","",Assumptions!$B$28)</f>
        <v>2000</v>
      </c>
      <c r="F33" s="10">
        <f t="shared" si="0"/>
        <v>300</v>
      </c>
      <c r="G33" s="7">
        <f>IF(A33="","",IF(D33=0,"",'Case calculations'!V15))</f>
        <v>46423</v>
      </c>
      <c r="H33" s="1" t="str">
        <f>IF(A33="","",IF(D33=0,"NO PATH",IF(G33&lt;Assumptions!$B$5,"BEFORE AS-OF",IF(G33&gt;=Assumptions!$B$7,"BEYOND HORIZON","IN HORIZON"))))</f>
        <v>IN HORIZON</v>
      </c>
    </row>
    <row r="34" spans="1:8" ht="22" customHeight="1">
      <c r="A34" s="1" t="str">
        <f>IF('Case calculations'!C15&lt;&gt;"OK","",'Case calculations'!A15)</f>
        <v>I-010</v>
      </c>
      <c r="B34" s="1" t="str">
        <f>IF(A34="","",'Case calculations'!B15)</f>
        <v>INITIAL</v>
      </c>
      <c r="C34" s="1" t="str">
        <f>IF(A34="","","RECON")</f>
        <v>RECON</v>
      </c>
      <c r="D34" s="19">
        <f>IF(A34="","",'Case calculations'!O15)</f>
        <v>0.15300000000000002</v>
      </c>
      <c r="E34" s="10">
        <f>IF(A34="","",Assumptions!$B$29)</f>
        <v>3000</v>
      </c>
      <c r="F34" s="10">
        <f t="shared" si="0"/>
        <v>459.00000000000006</v>
      </c>
      <c r="G34" s="7">
        <f>IF(A34="","",IF(D34=0,"",'Case calculations'!W15))</f>
        <v>46665</v>
      </c>
      <c r="H34" s="1" t="str">
        <f>IF(A34="","",IF(D34=0,"NO PATH",IF(G34&lt;Assumptions!$B$5,"BEFORE AS-OF",IF(G34&gt;=Assumptions!$B$7,"BEYOND HORIZON","IN HORIZON"))))</f>
        <v>IN HORIZON</v>
      </c>
    </row>
    <row r="35" spans="1:8" ht="22" customHeight="1">
      <c r="A35" s="1" t="str">
        <f>IF('Case calculations'!C15&lt;&gt;"OK","",'Case calculations'!A15)</f>
        <v>I-010</v>
      </c>
      <c r="B35" s="1" t="str">
        <f>IF(A35="","",'Case calculations'!B15)</f>
        <v>INITIAL</v>
      </c>
      <c r="C35" s="1" t="str">
        <f>IF(A35="","","HEARING")</f>
        <v>HEARING</v>
      </c>
      <c r="D35" s="19">
        <f>IF(A35="","",'Case calculations'!S15)</f>
        <v>0.30294000000000004</v>
      </c>
      <c r="E35" s="10">
        <f>IF(A35="","",Assumptions!$B$30)</f>
        <v>4500</v>
      </c>
      <c r="F35" s="10">
        <f t="shared" si="0"/>
        <v>1363.2300000000002</v>
      </c>
      <c r="G35" s="7">
        <f>IF(A35="","",IF(D35=0,"",'Case calculations'!X15))</f>
        <v>47001</v>
      </c>
      <c r="H35" s="1" t="str">
        <f>IF(A35="","",IF(D35=0,"NO PATH",IF(G35&lt;Assumptions!$B$5,"BEFORE AS-OF",IF(G35&gt;=Assumptions!$B$7,"BEYOND HORIZON","IN HORIZON"))))</f>
        <v>IN HORIZON</v>
      </c>
    </row>
    <row r="36" spans="1:8" ht="22" customHeight="1">
      <c r="A36" s="1" t="str">
        <f>IF('Case calculations'!C16&lt;&gt;"OK","",'Case calculations'!A16)</f>
        <v>I-011</v>
      </c>
      <c r="B36" s="1" t="str">
        <f>IF(A36="","",'Case calculations'!B16)</f>
        <v>INITIAL</v>
      </c>
      <c r="C36" s="1" t="str">
        <f>IF(A36="","","INITIAL")</f>
        <v>INITIAL</v>
      </c>
      <c r="D36" s="19">
        <f>IF(A36="","",'Case calculations'!N16)</f>
        <v>0.15</v>
      </c>
      <c r="E36" s="10">
        <f>IF(A36="","",Assumptions!$B$28)</f>
        <v>2000</v>
      </c>
      <c r="F36" s="10">
        <f t="shared" si="0"/>
        <v>300</v>
      </c>
      <c r="G36" s="7">
        <f>IF(A36="","",IF(D36=0,"",'Case calculations'!V16))</f>
        <v>46451</v>
      </c>
      <c r="H36" s="1" t="str">
        <f>IF(A36="","",IF(D36=0,"NO PATH",IF(G36&lt;Assumptions!$B$5,"BEFORE AS-OF",IF(G36&gt;=Assumptions!$B$7,"BEYOND HORIZON","IN HORIZON"))))</f>
        <v>IN HORIZON</v>
      </c>
    </row>
    <row r="37" spans="1:8" ht="22" customHeight="1">
      <c r="A37" s="1" t="str">
        <f>IF('Case calculations'!C16&lt;&gt;"OK","",'Case calculations'!A16)</f>
        <v>I-011</v>
      </c>
      <c r="B37" s="1" t="str">
        <f>IF(A37="","",'Case calculations'!B16)</f>
        <v>INITIAL</v>
      </c>
      <c r="C37" s="1" t="str">
        <f>IF(A37="","","RECON")</f>
        <v>RECON</v>
      </c>
      <c r="D37" s="19">
        <f>IF(A37="","",'Case calculations'!O16)</f>
        <v>0.15300000000000002</v>
      </c>
      <c r="E37" s="10">
        <f>IF(A37="","",Assumptions!$B$29)</f>
        <v>3000</v>
      </c>
      <c r="F37" s="10">
        <f t="shared" si="0"/>
        <v>459.00000000000006</v>
      </c>
      <c r="G37" s="7">
        <f>IF(A37="","",IF(D37=0,"",'Case calculations'!W16))</f>
        <v>46694</v>
      </c>
      <c r="H37" s="1" t="str">
        <f>IF(A37="","",IF(D37=0,"NO PATH",IF(G37&lt;Assumptions!$B$5,"BEFORE AS-OF",IF(G37&gt;=Assumptions!$B$7,"BEYOND HORIZON","IN HORIZON"))))</f>
        <v>IN HORIZON</v>
      </c>
    </row>
    <row r="38" spans="1:8" ht="22" customHeight="1">
      <c r="A38" s="1" t="str">
        <f>IF('Case calculations'!C16&lt;&gt;"OK","",'Case calculations'!A16)</f>
        <v>I-011</v>
      </c>
      <c r="B38" s="1" t="str">
        <f>IF(A38="","",'Case calculations'!B16)</f>
        <v>INITIAL</v>
      </c>
      <c r="C38" s="1" t="str">
        <f>IF(A38="","","HEARING")</f>
        <v>HEARING</v>
      </c>
      <c r="D38" s="19">
        <f>IF(A38="","",'Case calculations'!S16)</f>
        <v>0.30294000000000004</v>
      </c>
      <c r="E38" s="10">
        <f>IF(A38="","",Assumptions!$B$30)</f>
        <v>4500</v>
      </c>
      <c r="F38" s="10">
        <f t="shared" si="0"/>
        <v>1363.2300000000002</v>
      </c>
      <c r="G38" s="7">
        <f>IF(A38="","",IF(D38=0,"",'Case calculations'!X16))</f>
        <v>47029</v>
      </c>
      <c r="H38" s="1" t="str">
        <f>IF(A38="","",IF(D38=0,"NO PATH",IF(G38&lt;Assumptions!$B$5,"BEFORE AS-OF",IF(G38&gt;=Assumptions!$B$7,"BEYOND HORIZON","IN HORIZON"))))</f>
        <v>BEYOND HORIZON</v>
      </c>
    </row>
    <row r="39" spans="1:8" ht="22" customHeight="1">
      <c r="A39" s="1" t="str">
        <f>IF('Case calculations'!C17&lt;&gt;"OK","",'Case calculations'!A17)</f>
        <v>I-012</v>
      </c>
      <c r="B39" s="1" t="str">
        <f>IF(A39="","",'Case calculations'!B17)</f>
        <v>INITIAL</v>
      </c>
      <c r="C39" s="1" t="str">
        <f>IF(A39="","","INITIAL")</f>
        <v>INITIAL</v>
      </c>
      <c r="D39" s="19">
        <f>IF(A39="","",'Case calculations'!N17)</f>
        <v>0.15</v>
      </c>
      <c r="E39" s="10">
        <f>IF(A39="","",Assumptions!$B$28)</f>
        <v>2000</v>
      </c>
      <c r="F39" s="10">
        <f t="shared" si="0"/>
        <v>300</v>
      </c>
      <c r="G39" s="7">
        <f>IF(A39="","",IF(D39=0,"",'Case calculations'!V17))</f>
        <v>46451</v>
      </c>
      <c r="H39" s="1" t="str">
        <f>IF(A39="","",IF(D39=0,"NO PATH",IF(G39&lt;Assumptions!$B$5,"BEFORE AS-OF",IF(G39&gt;=Assumptions!$B$7,"BEYOND HORIZON","IN HORIZON"))))</f>
        <v>IN HORIZON</v>
      </c>
    </row>
    <row r="40" spans="1:8" ht="22" customHeight="1">
      <c r="A40" s="1" t="str">
        <f>IF('Case calculations'!C17&lt;&gt;"OK","",'Case calculations'!A17)</f>
        <v>I-012</v>
      </c>
      <c r="B40" s="1" t="str">
        <f>IF(A40="","",'Case calculations'!B17)</f>
        <v>INITIAL</v>
      </c>
      <c r="C40" s="1" t="str">
        <f>IF(A40="","","RECON")</f>
        <v>RECON</v>
      </c>
      <c r="D40" s="19">
        <f>IF(A40="","",'Case calculations'!O17)</f>
        <v>0.15300000000000002</v>
      </c>
      <c r="E40" s="10">
        <f>IF(A40="","",Assumptions!$B$29)</f>
        <v>3000</v>
      </c>
      <c r="F40" s="10">
        <f t="shared" si="0"/>
        <v>459.00000000000006</v>
      </c>
      <c r="G40" s="7">
        <f>IF(A40="","",IF(D40=0,"",'Case calculations'!W17))</f>
        <v>46694</v>
      </c>
      <c r="H40" s="1" t="str">
        <f>IF(A40="","",IF(D40=0,"NO PATH",IF(G40&lt;Assumptions!$B$5,"BEFORE AS-OF",IF(G40&gt;=Assumptions!$B$7,"BEYOND HORIZON","IN HORIZON"))))</f>
        <v>IN HORIZON</v>
      </c>
    </row>
    <row r="41" spans="1:8" ht="22" customHeight="1">
      <c r="A41" s="1" t="str">
        <f>IF('Case calculations'!C17&lt;&gt;"OK","",'Case calculations'!A17)</f>
        <v>I-012</v>
      </c>
      <c r="B41" s="1" t="str">
        <f>IF(A41="","",'Case calculations'!B17)</f>
        <v>INITIAL</v>
      </c>
      <c r="C41" s="1" t="str">
        <f>IF(A41="","","HEARING")</f>
        <v>HEARING</v>
      </c>
      <c r="D41" s="19">
        <f>IF(A41="","",'Case calculations'!S17)</f>
        <v>0.30294000000000004</v>
      </c>
      <c r="E41" s="10">
        <f>IF(A41="","",Assumptions!$B$30)</f>
        <v>4500</v>
      </c>
      <c r="F41" s="10">
        <f t="shared" si="0"/>
        <v>1363.2300000000002</v>
      </c>
      <c r="G41" s="7">
        <f>IF(A41="","",IF(D41=0,"",'Case calculations'!X17))</f>
        <v>47029</v>
      </c>
      <c r="H41" s="1" t="str">
        <f>IF(A41="","",IF(D41=0,"NO PATH",IF(G41&lt;Assumptions!$B$5,"BEFORE AS-OF",IF(G41&gt;=Assumptions!$B$7,"BEYOND HORIZON","IN HORIZON"))))</f>
        <v>BEYOND HORIZON</v>
      </c>
    </row>
    <row r="42" spans="1:8" ht="22" customHeight="1">
      <c r="A42" s="1" t="str">
        <f>IF('Case calculations'!C18&lt;&gt;"OK","",'Case calculations'!A18)</f>
        <v>I-013</v>
      </c>
      <c r="B42" s="1" t="str">
        <f>IF(A42="","",'Case calculations'!B18)</f>
        <v>INITIAL</v>
      </c>
      <c r="C42" s="1" t="str">
        <f>IF(A42="","","INITIAL")</f>
        <v>INITIAL</v>
      </c>
      <c r="D42" s="19">
        <f>IF(A42="","",'Case calculations'!N18)</f>
        <v>0.15</v>
      </c>
      <c r="E42" s="10">
        <f>IF(A42="","",Assumptions!$B$28)</f>
        <v>2000</v>
      </c>
      <c r="F42" s="10">
        <f t="shared" si="0"/>
        <v>300</v>
      </c>
      <c r="G42" s="7">
        <f>IF(A42="","",IF(D42=0,"",'Case calculations'!V18))</f>
        <v>46451</v>
      </c>
      <c r="H42" s="1" t="str">
        <f>IF(A42="","",IF(D42=0,"NO PATH",IF(G42&lt;Assumptions!$B$5,"BEFORE AS-OF",IF(G42&gt;=Assumptions!$B$7,"BEYOND HORIZON","IN HORIZON"))))</f>
        <v>IN HORIZON</v>
      </c>
    </row>
    <row r="43" spans="1:8" ht="22" customHeight="1">
      <c r="A43" s="1" t="str">
        <f>IF('Case calculations'!C18&lt;&gt;"OK","",'Case calculations'!A18)</f>
        <v>I-013</v>
      </c>
      <c r="B43" s="1" t="str">
        <f>IF(A43="","",'Case calculations'!B18)</f>
        <v>INITIAL</v>
      </c>
      <c r="C43" s="1" t="str">
        <f>IF(A43="","","RECON")</f>
        <v>RECON</v>
      </c>
      <c r="D43" s="19">
        <f>IF(A43="","",'Case calculations'!O18)</f>
        <v>0.15300000000000002</v>
      </c>
      <c r="E43" s="10">
        <f>IF(A43="","",Assumptions!$B$29)</f>
        <v>3000</v>
      </c>
      <c r="F43" s="10">
        <f t="shared" si="0"/>
        <v>459.00000000000006</v>
      </c>
      <c r="G43" s="7">
        <f>IF(A43="","",IF(D43=0,"",'Case calculations'!W18))</f>
        <v>46694</v>
      </c>
      <c r="H43" s="1" t="str">
        <f>IF(A43="","",IF(D43=0,"NO PATH",IF(G43&lt;Assumptions!$B$5,"BEFORE AS-OF",IF(G43&gt;=Assumptions!$B$7,"BEYOND HORIZON","IN HORIZON"))))</f>
        <v>IN HORIZON</v>
      </c>
    </row>
    <row r="44" spans="1:8" ht="22" customHeight="1">
      <c r="A44" s="1" t="str">
        <f>IF('Case calculations'!C18&lt;&gt;"OK","",'Case calculations'!A18)</f>
        <v>I-013</v>
      </c>
      <c r="B44" s="1" t="str">
        <f>IF(A44="","",'Case calculations'!B18)</f>
        <v>INITIAL</v>
      </c>
      <c r="C44" s="1" t="str">
        <f>IF(A44="","","HEARING")</f>
        <v>HEARING</v>
      </c>
      <c r="D44" s="19">
        <f>IF(A44="","",'Case calculations'!S18)</f>
        <v>0.30294000000000004</v>
      </c>
      <c r="E44" s="10">
        <f>IF(A44="","",Assumptions!$B$30)</f>
        <v>4500</v>
      </c>
      <c r="F44" s="10">
        <f t="shared" si="0"/>
        <v>1363.2300000000002</v>
      </c>
      <c r="G44" s="7">
        <f>IF(A44="","",IF(D44=0,"",'Case calculations'!X18))</f>
        <v>47029</v>
      </c>
      <c r="H44" s="1" t="str">
        <f>IF(A44="","",IF(D44=0,"NO PATH",IF(G44&lt;Assumptions!$B$5,"BEFORE AS-OF",IF(G44&gt;=Assumptions!$B$7,"BEYOND HORIZON","IN HORIZON"))))</f>
        <v>BEYOND HORIZON</v>
      </c>
    </row>
    <row r="45" spans="1:8" ht="22" customHeight="1">
      <c r="A45" s="1" t="str">
        <f>IF('Case calculations'!C19&lt;&gt;"OK","",'Case calculations'!A19)</f>
        <v>I-014</v>
      </c>
      <c r="B45" s="1" t="str">
        <f>IF(A45="","",'Case calculations'!B19)</f>
        <v>INITIAL</v>
      </c>
      <c r="C45" s="1" t="str">
        <f>IF(A45="","","INITIAL")</f>
        <v>INITIAL</v>
      </c>
      <c r="D45" s="19">
        <f>IF(A45="","",'Case calculations'!N19)</f>
        <v>0.15</v>
      </c>
      <c r="E45" s="10">
        <f>IF(A45="","",Assumptions!$B$28)</f>
        <v>2000</v>
      </c>
      <c r="F45" s="10">
        <f t="shared" si="0"/>
        <v>300</v>
      </c>
      <c r="G45" s="7">
        <f>IF(A45="","",IF(D45=0,"",'Case calculations'!V19))</f>
        <v>46451</v>
      </c>
      <c r="H45" s="1" t="str">
        <f>IF(A45="","",IF(D45=0,"NO PATH",IF(G45&lt;Assumptions!$B$5,"BEFORE AS-OF",IF(G45&gt;=Assumptions!$B$7,"BEYOND HORIZON","IN HORIZON"))))</f>
        <v>IN HORIZON</v>
      </c>
    </row>
    <row r="46" spans="1:8" ht="22" customHeight="1">
      <c r="A46" s="1" t="str">
        <f>IF('Case calculations'!C19&lt;&gt;"OK","",'Case calculations'!A19)</f>
        <v>I-014</v>
      </c>
      <c r="B46" s="1" t="str">
        <f>IF(A46="","",'Case calculations'!B19)</f>
        <v>INITIAL</v>
      </c>
      <c r="C46" s="1" t="str">
        <f>IF(A46="","","RECON")</f>
        <v>RECON</v>
      </c>
      <c r="D46" s="19">
        <f>IF(A46="","",'Case calculations'!O19)</f>
        <v>0.15300000000000002</v>
      </c>
      <c r="E46" s="10">
        <f>IF(A46="","",Assumptions!$B$29)</f>
        <v>3000</v>
      </c>
      <c r="F46" s="10">
        <f t="shared" si="0"/>
        <v>459.00000000000006</v>
      </c>
      <c r="G46" s="7">
        <f>IF(A46="","",IF(D46=0,"",'Case calculations'!W19))</f>
        <v>46694</v>
      </c>
      <c r="H46" s="1" t="str">
        <f>IF(A46="","",IF(D46=0,"NO PATH",IF(G46&lt;Assumptions!$B$5,"BEFORE AS-OF",IF(G46&gt;=Assumptions!$B$7,"BEYOND HORIZON","IN HORIZON"))))</f>
        <v>IN HORIZON</v>
      </c>
    </row>
    <row r="47" spans="1:8" ht="22" customHeight="1">
      <c r="A47" s="1" t="str">
        <f>IF('Case calculations'!C19&lt;&gt;"OK","",'Case calculations'!A19)</f>
        <v>I-014</v>
      </c>
      <c r="B47" s="1" t="str">
        <f>IF(A47="","",'Case calculations'!B19)</f>
        <v>INITIAL</v>
      </c>
      <c r="C47" s="1" t="str">
        <f>IF(A47="","","HEARING")</f>
        <v>HEARING</v>
      </c>
      <c r="D47" s="19">
        <f>IF(A47="","",'Case calculations'!S19)</f>
        <v>0.30294000000000004</v>
      </c>
      <c r="E47" s="10">
        <f>IF(A47="","",Assumptions!$B$30)</f>
        <v>4500</v>
      </c>
      <c r="F47" s="10">
        <f t="shared" si="0"/>
        <v>1363.2300000000002</v>
      </c>
      <c r="G47" s="7">
        <f>IF(A47="","",IF(D47=0,"",'Case calculations'!X19))</f>
        <v>47029</v>
      </c>
      <c r="H47" s="1" t="str">
        <f>IF(A47="","",IF(D47=0,"NO PATH",IF(G47&lt;Assumptions!$B$5,"BEFORE AS-OF",IF(G47&gt;=Assumptions!$B$7,"BEYOND HORIZON","IN HORIZON"))))</f>
        <v>BEYOND HORIZON</v>
      </c>
    </row>
    <row r="48" spans="1:8" ht="22" customHeight="1">
      <c r="A48" s="1" t="str">
        <f>IF('Case calculations'!C20&lt;&gt;"OK","",'Case calculations'!A20)</f>
        <v>I-015</v>
      </c>
      <c r="B48" s="1" t="str">
        <f>IF(A48="","",'Case calculations'!B20)</f>
        <v>INITIAL</v>
      </c>
      <c r="C48" s="1" t="str">
        <f>IF(A48="","","INITIAL")</f>
        <v>INITIAL</v>
      </c>
      <c r="D48" s="19">
        <f>IF(A48="","",'Case calculations'!N20)</f>
        <v>0.15</v>
      </c>
      <c r="E48" s="10">
        <f>IF(A48="","",Assumptions!$B$28)</f>
        <v>2000</v>
      </c>
      <c r="F48" s="10">
        <f t="shared" si="0"/>
        <v>300</v>
      </c>
      <c r="G48" s="7">
        <f>IF(A48="","",IF(D48=0,"",'Case calculations'!V20))</f>
        <v>46451</v>
      </c>
      <c r="H48" s="1" t="str">
        <f>IF(A48="","",IF(D48=0,"NO PATH",IF(G48&lt;Assumptions!$B$5,"BEFORE AS-OF",IF(G48&gt;=Assumptions!$B$7,"BEYOND HORIZON","IN HORIZON"))))</f>
        <v>IN HORIZON</v>
      </c>
    </row>
    <row r="49" spans="1:8" ht="22" customHeight="1">
      <c r="A49" s="1" t="str">
        <f>IF('Case calculations'!C20&lt;&gt;"OK","",'Case calculations'!A20)</f>
        <v>I-015</v>
      </c>
      <c r="B49" s="1" t="str">
        <f>IF(A49="","",'Case calculations'!B20)</f>
        <v>INITIAL</v>
      </c>
      <c r="C49" s="1" t="str">
        <f>IF(A49="","","RECON")</f>
        <v>RECON</v>
      </c>
      <c r="D49" s="19">
        <f>IF(A49="","",'Case calculations'!O20)</f>
        <v>0.15300000000000002</v>
      </c>
      <c r="E49" s="10">
        <f>IF(A49="","",Assumptions!$B$29)</f>
        <v>3000</v>
      </c>
      <c r="F49" s="10">
        <f t="shared" si="0"/>
        <v>459.00000000000006</v>
      </c>
      <c r="G49" s="7">
        <f>IF(A49="","",IF(D49=0,"",'Case calculations'!W20))</f>
        <v>46694</v>
      </c>
      <c r="H49" s="1" t="str">
        <f>IF(A49="","",IF(D49=0,"NO PATH",IF(G49&lt;Assumptions!$B$5,"BEFORE AS-OF",IF(G49&gt;=Assumptions!$B$7,"BEYOND HORIZON","IN HORIZON"))))</f>
        <v>IN HORIZON</v>
      </c>
    </row>
    <row r="50" spans="1:8" ht="22" customHeight="1">
      <c r="A50" s="1" t="str">
        <f>IF('Case calculations'!C20&lt;&gt;"OK","",'Case calculations'!A20)</f>
        <v>I-015</v>
      </c>
      <c r="B50" s="1" t="str">
        <f>IF(A50="","",'Case calculations'!B20)</f>
        <v>INITIAL</v>
      </c>
      <c r="C50" s="1" t="str">
        <f>IF(A50="","","HEARING")</f>
        <v>HEARING</v>
      </c>
      <c r="D50" s="19">
        <f>IF(A50="","",'Case calculations'!S20)</f>
        <v>0.30294000000000004</v>
      </c>
      <c r="E50" s="10">
        <f>IF(A50="","",Assumptions!$B$30)</f>
        <v>4500</v>
      </c>
      <c r="F50" s="10">
        <f t="shared" si="0"/>
        <v>1363.2300000000002</v>
      </c>
      <c r="G50" s="7">
        <f>IF(A50="","",IF(D50=0,"",'Case calculations'!X20))</f>
        <v>47029</v>
      </c>
      <c r="H50" s="1" t="str">
        <f>IF(A50="","",IF(D50=0,"NO PATH",IF(G50&lt;Assumptions!$B$5,"BEFORE AS-OF",IF(G50&gt;=Assumptions!$B$7,"BEYOND HORIZON","IN HORIZON"))))</f>
        <v>BEYOND HORIZON</v>
      </c>
    </row>
    <row r="51" spans="1:8" ht="22" customHeight="1">
      <c r="A51" s="1" t="str">
        <f>IF('Case calculations'!C21&lt;&gt;"OK","",'Case calculations'!A21)</f>
        <v>I-016</v>
      </c>
      <c r="B51" s="1" t="str">
        <f>IF(A51="","",'Case calculations'!B21)</f>
        <v>INITIAL</v>
      </c>
      <c r="C51" s="1" t="str">
        <f>IF(A51="","","INITIAL")</f>
        <v>INITIAL</v>
      </c>
      <c r="D51" s="19">
        <f>IF(A51="","",'Case calculations'!N21)</f>
        <v>0.15</v>
      </c>
      <c r="E51" s="10">
        <f>IF(A51="","",Assumptions!$B$28)</f>
        <v>2000</v>
      </c>
      <c r="F51" s="10">
        <f t="shared" si="0"/>
        <v>300</v>
      </c>
      <c r="G51" s="7">
        <f>IF(A51="","",IF(D51=0,"",'Case calculations'!V21))</f>
        <v>46451</v>
      </c>
      <c r="H51" s="1" t="str">
        <f>IF(A51="","",IF(D51=0,"NO PATH",IF(G51&lt;Assumptions!$B$5,"BEFORE AS-OF",IF(G51&gt;=Assumptions!$B$7,"BEYOND HORIZON","IN HORIZON"))))</f>
        <v>IN HORIZON</v>
      </c>
    </row>
    <row r="52" spans="1:8" ht="22" customHeight="1">
      <c r="A52" s="1" t="str">
        <f>IF('Case calculations'!C21&lt;&gt;"OK","",'Case calculations'!A21)</f>
        <v>I-016</v>
      </c>
      <c r="B52" s="1" t="str">
        <f>IF(A52="","",'Case calculations'!B21)</f>
        <v>INITIAL</v>
      </c>
      <c r="C52" s="1" t="str">
        <f>IF(A52="","","RECON")</f>
        <v>RECON</v>
      </c>
      <c r="D52" s="19">
        <f>IF(A52="","",'Case calculations'!O21)</f>
        <v>0.15300000000000002</v>
      </c>
      <c r="E52" s="10">
        <f>IF(A52="","",Assumptions!$B$29)</f>
        <v>3000</v>
      </c>
      <c r="F52" s="10">
        <f t="shared" si="0"/>
        <v>459.00000000000006</v>
      </c>
      <c r="G52" s="7">
        <f>IF(A52="","",IF(D52=0,"",'Case calculations'!W21))</f>
        <v>46694</v>
      </c>
      <c r="H52" s="1" t="str">
        <f>IF(A52="","",IF(D52=0,"NO PATH",IF(G52&lt;Assumptions!$B$5,"BEFORE AS-OF",IF(G52&gt;=Assumptions!$B$7,"BEYOND HORIZON","IN HORIZON"))))</f>
        <v>IN HORIZON</v>
      </c>
    </row>
    <row r="53" spans="1:8" ht="22" customHeight="1">
      <c r="A53" s="1" t="str">
        <f>IF('Case calculations'!C21&lt;&gt;"OK","",'Case calculations'!A21)</f>
        <v>I-016</v>
      </c>
      <c r="B53" s="1" t="str">
        <f>IF(A53="","",'Case calculations'!B21)</f>
        <v>INITIAL</v>
      </c>
      <c r="C53" s="1" t="str">
        <f>IF(A53="","","HEARING")</f>
        <v>HEARING</v>
      </c>
      <c r="D53" s="19">
        <f>IF(A53="","",'Case calculations'!S21)</f>
        <v>0.30294000000000004</v>
      </c>
      <c r="E53" s="10">
        <f>IF(A53="","",Assumptions!$B$30)</f>
        <v>4500</v>
      </c>
      <c r="F53" s="10">
        <f t="shared" si="0"/>
        <v>1363.2300000000002</v>
      </c>
      <c r="G53" s="7">
        <f>IF(A53="","",IF(D53=0,"",'Case calculations'!X21))</f>
        <v>47029</v>
      </c>
      <c r="H53" s="1" t="str">
        <f>IF(A53="","",IF(D53=0,"NO PATH",IF(G53&lt;Assumptions!$B$5,"BEFORE AS-OF",IF(G53&gt;=Assumptions!$B$7,"BEYOND HORIZON","IN HORIZON"))))</f>
        <v>BEYOND HORIZON</v>
      </c>
    </row>
    <row r="54" spans="1:8" ht="22" customHeight="1">
      <c r="A54" s="1" t="str">
        <f>IF('Case calculations'!C22&lt;&gt;"OK","",'Case calculations'!A22)</f>
        <v>I-017</v>
      </c>
      <c r="B54" s="1" t="str">
        <f>IF(A54="","",'Case calculations'!B22)</f>
        <v>INITIAL</v>
      </c>
      <c r="C54" s="1" t="str">
        <f>IF(A54="","","INITIAL")</f>
        <v>INITIAL</v>
      </c>
      <c r="D54" s="19">
        <f>IF(A54="","",'Case calculations'!N22)</f>
        <v>0.15</v>
      </c>
      <c r="E54" s="10">
        <f>IF(A54="","",Assumptions!$B$28)</f>
        <v>2000</v>
      </c>
      <c r="F54" s="10">
        <f t="shared" si="0"/>
        <v>300</v>
      </c>
      <c r="G54" s="7">
        <f>IF(A54="","",IF(D54=0,"",'Case calculations'!V22))</f>
        <v>46451</v>
      </c>
      <c r="H54" s="1" t="str">
        <f>IF(A54="","",IF(D54=0,"NO PATH",IF(G54&lt;Assumptions!$B$5,"BEFORE AS-OF",IF(G54&gt;=Assumptions!$B$7,"BEYOND HORIZON","IN HORIZON"))))</f>
        <v>IN HORIZON</v>
      </c>
    </row>
    <row r="55" spans="1:8" ht="22" customHeight="1">
      <c r="A55" s="1" t="str">
        <f>IF('Case calculations'!C22&lt;&gt;"OK","",'Case calculations'!A22)</f>
        <v>I-017</v>
      </c>
      <c r="B55" s="1" t="str">
        <f>IF(A55="","",'Case calculations'!B22)</f>
        <v>INITIAL</v>
      </c>
      <c r="C55" s="1" t="str">
        <f>IF(A55="","","RECON")</f>
        <v>RECON</v>
      </c>
      <c r="D55" s="19">
        <f>IF(A55="","",'Case calculations'!O22)</f>
        <v>0.15300000000000002</v>
      </c>
      <c r="E55" s="10">
        <f>IF(A55="","",Assumptions!$B$29)</f>
        <v>3000</v>
      </c>
      <c r="F55" s="10">
        <f t="shared" si="0"/>
        <v>459.00000000000006</v>
      </c>
      <c r="G55" s="7">
        <f>IF(A55="","",IF(D55=0,"",'Case calculations'!W22))</f>
        <v>46694</v>
      </c>
      <c r="H55" s="1" t="str">
        <f>IF(A55="","",IF(D55=0,"NO PATH",IF(G55&lt;Assumptions!$B$5,"BEFORE AS-OF",IF(G55&gt;=Assumptions!$B$7,"BEYOND HORIZON","IN HORIZON"))))</f>
        <v>IN HORIZON</v>
      </c>
    </row>
    <row r="56" spans="1:8" ht="22" customHeight="1">
      <c r="A56" s="1" t="str">
        <f>IF('Case calculations'!C22&lt;&gt;"OK","",'Case calculations'!A22)</f>
        <v>I-017</v>
      </c>
      <c r="B56" s="1" t="str">
        <f>IF(A56="","",'Case calculations'!B22)</f>
        <v>INITIAL</v>
      </c>
      <c r="C56" s="1" t="str">
        <f>IF(A56="","","HEARING")</f>
        <v>HEARING</v>
      </c>
      <c r="D56" s="19">
        <f>IF(A56="","",'Case calculations'!S22)</f>
        <v>0.30294000000000004</v>
      </c>
      <c r="E56" s="10">
        <f>IF(A56="","",Assumptions!$B$30)</f>
        <v>4500</v>
      </c>
      <c r="F56" s="10">
        <f t="shared" si="0"/>
        <v>1363.2300000000002</v>
      </c>
      <c r="G56" s="7">
        <f>IF(A56="","",IF(D56=0,"",'Case calculations'!X22))</f>
        <v>47029</v>
      </c>
      <c r="H56" s="1" t="str">
        <f>IF(A56="","",IF(D56=0,"NO PATH",IF(G56&lt;Assumptions!$B$5,"BEFORE AS-OF",IF(G56&gt;=Assumptions!$B$7,"BEYOND HORIZON","IN HORIZON"))))</f>
        <v>BEYOND HORIZON</v>
      </c>
    </row>
    <row r="57" spans="1:8" ht="22" customHeight="1">
      <c r="A57" s="1" t="str">
        <f>IF('Case calculations'!C23&lt;&gt;"OK","",'Case calculations'!A23)</f>
        <v>I-018</v>
      </c>
      <c r="B57" s="1" t="str">
        <f>IF(A57="","",'Case calculations'!B23)</f>
        <v>INITIAL</v>
      </c>
      <c r="C57" s="1" t="str">
        <f>IF(A57="","","INITIAL")</f>
        <v>INITIAL</v>
      </c>
      <c r="D57" s="19">
        <f>IF(A57="","",'Case calculations'!N23)</f>
        <v>0.15</v>
      </c>
      <c r="E57" s="10">
        <f>IF(A57="","",Assumptions!$B$28)</f>
        <v>2000</v>
      </c>
      <c r="F57" s="10">
        <f t="shared" si="0"/>
        <v>300</v>
      </c>
      <c r="G57" s="7">
        <f>IF(A57="","",IF(D57=0,"",'Case calculations'!V23))</f>
        <v>46451</v>
      </c>
      <c r="H57" s="1" t="str">
        <f>IF(A57="","",IF(D57=0,"NO PATH",IF(G57&lt;Assumptions!$B$5,"BEFORE AS-OF",IF(G57&gt;=Assumptions!$B$7,"BEYOND HORIZON","IN HORIZON"))))</f>
        <v>IN HORIZON</v>
      </c>
    </row>
    <row r="58" spans="1:8" ht="22" customHeight="1">
      <c r="A58" s="1" t="str">
        <f>IF('Case calculations'!C23&lt;&gt;"OK","",'Case calculations'!A23)</f>
        <v>I-018</v>
      </c>
      <c r="B58" s="1" t="str">
        <f>IF(A58="","",'Case calculations'!B23)</f>
        <v>INITIAL</v>
      </c>
      <c r="C58" s="1" t="str">
        <f>IF(A58="","","RECON")</f>
        <v>RECON</v>
      </c>
      <c r="D58" s="19">
        <f>IF(A58="","",'Case calculations'!O23)</f>
        <v>0.15300000000000002</v>
      </c>
      <c r="E58" s="10">
        <f>IF(A58="","",Assumptions!$B$29)</f>
        <v>3000</v>
      </c>
      <c r="F58" s="10">
        <f t="shared" si="0"/>
        <v>459.00000000000006</v>
      </c>
      <c r="G58" s="7">
        <f>IF(A58="","",IF(D58=0,"",'Case calculations'!W23))</f>
        <v>46694</v>
      </c>
      <c r="H58" s="1" t="str">
        <f>IF(A58="","",IF(D58=0,"NO PATH",IF(G58&lt;Assumptions!$B$5,"BEFORE AS-OF",IF(G58&gt;=Assumptions!$B$7,"BEYOND HORIZON","IN HORIZON"))))</f>
        <v>IN HORIZON</v>
      </c>
    </row>
    <row r="59" spans="1:8" ht="22" customHeight="1">
      <c r="A59" s="1" t="str">
        <f>IF('Case calculations'!C23&lt;&gt;"OK","",'Case calculations'!A23)</f>
        <v>I-018</v>
      </c>
      <c r="B59" s="1" t="str">
        <f>IF(A59="","",'Case calculations'!B23)</f>
        <v>INITIAL</v>
      </c>
      <c r="C59" s="1" t="str">
        <f>IF(A59="","","HEARING")</f>
        <v>HEARING</v>
      </c>
      <c r="D59" s="19">
        <f>IF(A59="","",'Case calculations'!S23)</f>
        <v>0.30294000000000004</v>
      </c>
      <c r="E59" s="10">
        <f>IF(A59="","",Assumptions!$B$30)</f>
        <v>4500</v>
      </c>
      <c r="F59" s="10">
        <f t="shared" si="0"/>
        <v>1363.2300000000002</v>
      </c>
      <c r="G59" s="7">
        <f>IF(A59="","",IF(D59=0,"",'Case calculations'!X23))</f>
        <v>47029</v>
      </c>
      <c r="H59" s="1" t="str">
        <f>IF(A59="","",IF(D59=0,"NO PATH",IF(G59&lt;Assumptions!$B$5,"BEFORE AS-OF",IF(G59&gt;=Assumptions!$B$7,"BEYOND HORIZON","IN HORIZON"))))</f>
        <v>BEYOND HORIZON</v>
      </c>
    </row>
    <row r="60" spans="1:8" ht="22" customHeight="1">
      <c r="A60" s="1" t="str">
        <f>IF('Case calculations'!C24&lt;&gt;"OK","",'Case calculations'!A24)</f>
        <v>I-019</v>
      </c>
      <c r="B60" s="1" t="str">
        <f>IF(A60="","",'Case calculations'!B24)</f>
        <v>INITIAL</v>
      </c>
      <c r="C60" s="1" t="str">
        <f>IF(A60="","","INITIAL")</f>
        <v>INITIAL</v>
      </c>
      <c r="D60" s="19">
        <f>IF(A60="","",'Case calculations'!N24)</f>
        <v>0.15</v>
      </c>
      <c r="E60" s="10">
        <f>IF(A60="","",Assumptions!$B$28)</f>
        <v>2000</v>
      </c>
      <c r="F60" s="10">
        <f t="shared" si="0"/>
        <v>300</v>
      </c>
      <c r="G60" s="7">
        <f>IF(A60="","",IF(D60=0,"",'Case calculations'!V24))</f>
        <v>46451</v>
      </c>
      <c r="H60" s="1" t="str">
        <f>IF(A60="","",IF(D60=0,"NO PATH",IF(G60&lt;Assumptions!$B$5,"BEFORE AS-OF",IF(G60&gt;=Assumptions!$B$7,"BEYOND HORIZON","IN HORIZON"))))</f>
        <v>IN HORIZON</v>
      </c>
    </row>
    <row r="61" spans="1:8" ht="22" customHeight="1">
      <c r="A61" s="1" t="str">
        <f>IF('Case calculations'!C24&lt;&gt;"OK","",'Case calculations'!A24)</f>
        <v>I-019</v>
      </c>
      <c r="B61" s="1" t="str">
        <f>IF(A61="","",'Case calculations'!B24)</f>
        <v>INITIAL</v>
      </c>
      <c r="C61" s="1" t="str">
        <f>IF(A61="","","RECON")</f>
        <v>RECON</v>
      </c>
      <c r="D61" s="19">
        <f>IF(A61="","",'Case calculations'!O24)</f>
        <v>0.15300000000000002</v>
      </c>
      <c r="E61" s="10">
        <f>IF(A61="","",Assumptions!$B$29)</f>
        <v>3000</v>
      </c>
      <c r="F61" s="10">
        <f t="shared" si="0"/>
        <v>459.00000000000006</v>
      </c>
      <c r="G61" s="7">
        <f>IF(A61="","",IF(D61=0,"",'Case calculations'!W24))</f>
        <v>46694</v>
      </c>
      <c r="H61" s="1" t="str">
        <f>IF(A61="","",IF(D61=0,"NO PATH",IF(G61&lt;Assumptions!$B$5,"BEFORE AS-OF",IF(G61&gt;=Assumptions!$B$7,"BEYOND HORIZON","IN HORIZON"))))</f>
        <v>IN HORIZON</v>
      </c>
    </row>
    <row r="62" spans="1:8" ht="22" customHeight="1">
      <c r="A62" s="1" t="str">
        <f>IF('Case calculations'!C24&lt;&gt;"OK","",'Case calculations'!A24)</f>
        <v>I-019</v>
      </c>
      <c r="B62" s="1" t="str">
        <f>IF(A62="","",'Case calculations'!B24)</f>
        <v>INITIAL</v>
      </c>
      <c r="C62" s="1" t="str">
        <f>IF(A62="","","HEARING")</f>
        <v>HEARING</v>
      </c>
      <c r="D62" s="19">
        <f>IF(A62="","",'Case calculations'!S24)</f>
        <v>0.30294000000000004</v>
      </c>
      <c r="E62" s="10">
        <f>IF(A62="","",Assumptions!$B$30)</f>
        <v>4500</v>
      </c>
      <c r="F62" s="10">
        <f t="shared" si="0"/>
        <v>1363.2300000000002</v>
      </c>
      <c r="G62" s="7">
        <f>IF(A62="","",IF(D62=0,"",'Case calculations'!X24))</f>
        <v>47029</v>
      </c>
      <c r="H62" s="1" t="str">
        <f>IF(A62="","",IF(D62=0,"NO PATH",IF(G62&lt;Assumptions!$B$5,"BEFORE AS-OF",IF(G62&gt;=Assumptions!$B$7,"BEYOND HORIZON","IN HORIZON"))))</f>
        <v>BEYOND HORIZON</v>
      </c>
    </row>
    <row r="63" spans="1:8" ht="22" customHeight="1">
      <c r="A63" s="1" t="str">
        <f>IF('Case calculations'!C25&lt;&gt;"OK","",'Case calculations'!A25)</f>
        <v>I-020</v>
      </c>
      <c r="B63" s="1" t="str">
        <f>IF(A63="","",'Case calculations'!B25)</f>
        <v>INITIAL</v>
      </c>
      <c r="C63" s="1" t="str">
        <f>IF(A63="","","INITIAL")</f>
        <v>INITIAL</v>
      </c>
      <c r="D63" s="19">
        <f>IF(A63="","",'Case calculations'!N25)</f>
        <v>0.15</v>
      </c>
      <c r="E63" s="10">
        <f>IF(A63="","",Assumptions!$B$28)</f>
        <v>2000</v>
      </c>
      <c r="F63" s="10">
        <f t="shared" si="0"/>
        <v>300</v>
      </c>
      <c r="G63" s="7">
        <f>IF(A63="","",IF(D63=0,"",'Case calculations'!V25))</f>
        <v>46451</v>
      </c>
      <c r="H63" s="1" t="str">
        <f>IF(A63="","",IF(D63=0,"NO PATH",IF(G63&lt;Assumptions!$B$5,"BEFORE AS-OF",IF(G63&gt;=Assumptions!$B$7,"BEYOND HORIZON","IN HORIZON"))))</f>
        <v>IN HORIZON</v>
      </c>
    </row>
    <row r="64" spans="1:8" ht="22" customHeight="1">
      <c r="A64" s="1" t="str">
        <f>IF('Case calculations'!C25&lt;&gt;"OK","",'Case calculations'!A25)</f>
        <v>I-020</v>
      </c>
      <c r="B64" s="1" t="str">
        <f>IF(A64="","",'Case calculations'!B25)</f>
        <v>INITIAL</v>
      </c>
      <c r="C64" s="1" t="str">
        <f>IF(A64="","","RECON")</f>
        <v>RECON</v>
      </c>
      <c r="D64" s="19">
        <f>IF(A64="","",'Case calculations'!O25)</f>
        <v>0.15300000000000002</v>
      </c>
      <c r="E64" s="10">
        <f>IF(A64="","",Assumptions!$B$29)</f>
        <v>3000</v>
      </c>
      <c r="F64" s="10">
        <f t="shared" si="0"/>
        <v>459.00000000000006</v>
      </c>
      <c r="G64" s="7">
        <f>IF(A64="","",IF(D64=0,"",'Case calculations'!W25))</f>
        <v>46694</v>
      </c>
      <c r="H64" s="1" t="str">
        <f>IF(A64="","",IF(D64=0,"NO PATH",IF(G64&lt;Assumptions!$B$5,"BEFORE AS-OF",IF(G64&gt;=Assumptions!$B$7,"BEYOND HORIZON","IN HORIZON"))))</f>
        <v>IN HORIZON</v>
      </c>
    </row>
    <row r="65" spans="1:8" ht="22" customHeight="1">
      <c r="A65" s="1" t="str">
        <f>IF('Case calculations'!C25&lt;&gt;"OK","",'Case calculations'!A25)</f>
        <v>I-020</v>
      </c>
      <c r="B65" s="1" t="str">
        <f>IF(A65="","",'Case calculations'!B25)</f>
        <v>INITIAL</v>
      </c>
      <c r="C65" s="1" t="str">
        <f>IF(A65="","","HEARING")</f>
        <v>HEARING</v>
      </c>
      <c r="D65" s="19">
        <f>IF(A65="","",'Case calculations'!S25)</f>
        <v>0.30294000000000004</v>
      </c>
      <c r="E65" s="10">
        <f>IF(A65="","",Assumptions!$B$30)</f>
        <v>4500</v>
      </c>
      <c r="F65" s="10">
        <f t="shared" si="0"/>
        <v>1363.2300000000002</v>
      </c>
      <c r="G65" s="7">
        <f>IF(A65="","",IF(D65=0,"",'Case calculations'!X25))</f>
        <v>47029</v>
      </c>
      <c r="H65" s="1" t="str">
        <f>IF(A65="","",IF(D65=0,"NO PATH",IF(G65&lt;Assumptions!$B$5,"BEFORE AS-OF",IF(G65&gt;=Assumptions!$B$7,"BEYOND HORIZON","IN HORIZON"))))</f>
        <v>BEYOND HORIZON</v>
      </c>
    </row>
    <row r="66" spans="1:8" ht="22" customHeight="1">
      <c r="A66" s="1" t="str">
        <f>IF('Case calculations'!C26&lt;&gt;"OK","",'Case calculations'!A26)</f>
        <v>I-021</v>
      </c>
      <c r="B66" s="1" t="str">
        <f>IF(A66="","",'Case calculations'!B26)</f>
        <v>INITIAL</v>
      </c>
      <c r="C66" s="1" t="str">
        <f>IF(A66="","","INITIAL")</f>
        <v>INITIAL</v>
      </c>
      <c r="D66" s="19">
        <f>IF(A66="","",'Case calculations'!N26)</f>
        <v>0.15</v>
      </c>
      <c r="E66" s="10">
        <f>IF(A66="","",Assumptions!$B$28)</f>
        <v>2000</v>
      </c>
      <c r="F66" s="10">
        <f t="shared" si="0"/>
        <v>300</v>
      </c>
      <c r="G66" s="7">
        <f>IF(A66="","",IF(D66=0,"",'Case calculations'!V26))</f>
        <v>46485</v>
      </c>
      <c r="H66" s="1" t="str">
        <f>IF(A66="","",IF(D66=0,"NO PATH",IF(G66&lt;Assumptions!$B$5,"BEFORE AS-OF",IF(G66&gt;=Assumptions!$B$7,"BEYOND HORIZON","IN HORIZON"))))</f>
        <v>IN HORIZON</v>
      </c>
    </row>
    <row r="67" spans="1:8" ht="22" customHeight="1">
      <c r="A67" s="1" t="str">
        <f>IF('Case calculations'!C26&lt;&gt;"OK","",'Case calculations'!A26)</f>
        <v>I-021</v>
      </c>
      <c r="B67" s="1" t="str">
        <f>IF(A67="","",'Case calculations'!B26)</f>
        <v>INITIAL</v>
      </c>
      <c r="C67" s="1" t="str">
        <f>IF(A67="","","RECON")</f>
        <v>RECON</v>
      </c>
      <c r="D67" s="19">
        <f>IF(A67="","",'Case calculations'!O26)</f>
        <v>0.15300000000000002</v>
      </c>
      <c r="E67" s="10">
        <f>IF(A67="","",Assumptions!$B$29)</f>
        <v>3000</v>
      </c>
      <c r="F67" s="10">
        <f t="shared" si="0"/>
        <v>459.00000000000006</v>
      </c>
      <c r="G67" s="7">
        <f>IF(A67="","",IF(D67=0,"",'Case calculations'!W26))</f>
        <v>46727</v>
      </c>
      <c r="H67" s="1" t="str">
        <f>IF(A67="","",IF(D67=0,"NO PATH",IF(G67&lt;Assumptions!$B$5,"BEFORE AS-OF",IF(G67&gt;=Assumptions!$B$7,"BEYOND HORIZON","IN HORIZON"))))</f>
        <v>IN HORIZON</v>
      </c>
    </row>
    <row r="68" spans="1:8" ht="22" customHeight="1">
      <c r="A68" s="1" t="str">
        <f>IF('Case calculations'!C26&lt;&gt;"OK","",'Case calculations'!A26)</f>
        <v>I-021</v>
      </c>
      <c r="B68" s="1" t="str">
        <f>IF(A68="","",'Case calculations'!B26)</f>
        <v>INITIAL</v>
      </c>
      <c r="C68" s="1" t="str">
        <f>IF(A68="","","HEARING")</f>
        <v>HEARING</v>
      </c>
      <c r="D68" s="19">
        <f>IF(A68="","",'Case calculations'!S26)</f>
        <v>0.30294000000000004</v>
      </c>
      <c r="E68" s="10">
        <f>IF(A68="","",Assumptions!$B$30)</f>
        <v>4500</v>
      </c>
      <c r="F68" s="10">
        <f t="shared" si="0"/>
        <v>1363.2300000000002</v>
      </c>
      <c r="G68" s="7">
        <f>IF(A68="","",IF(D68=0,"",'Case calculations'!X26))</f>
        <v>47063</v>
      </c>
      <c r="H68" s="1" t="str">
        <f>IF(A68="","",IF(D68=0,"NO PATH",IF(G68&lt;Assumptions!$B$5,"BEFORE AS-OF",IF(G68&gt;=Assumptions!$B$7,"BEYOND HORIZON","IN HORIZON"))))</f>
        <v>BEYOND HORIZON</v>
      </c>
    </row>
    <row r="69" spans="1:8" ht="22" customHeight="1">
      <c r="A69" s="1" t="str">
        <f>IF('Case calculations'!C27&lt;&gt;"OK","",'Case calculations'!A27)</f>
        <v>I-022</v>
      </c>
      <c r="B69" s="1" t="str">
        <f>IF(A69="","",'Case calculations'!B27)</f>
        <v>INITIAL</v>
      </c>
      <c r="C69" s="1" t="str">
        <f>IF(A69="","","INITIAL")</f>
        <v>INITIAL</v>
      </c>
      <c r="D69" s="19">
        <f>IF(A69="","",'Case calculations'!N27)</f>
        <v>0.15</v>
      </c>
      <c r="E69" s="10">
        <f>IF(A69="","",Assumptions!$B$28)</f>
        <v>2000</v>
      </c>
      <c r="F69" s="10">
        <f t="shared" si="0"/>
        <v>300</v>
      </c>
      <c r="G69" s="7">
        <f>IF(A69="","",IF(D69=0,"",'Case calculations'!V27))</f>
        <v>46485</v>
      </c>
      <c r="H69" s="1" t="str">
        <f>IF(A69="","",IF(D69=0,"NO PATH",IF(G69&lt;Assumptions!$B$5,"BEFORE AS-OF",IF(G69&gt;=Assumptions!$B$7,"BEYOND HORIZON","IN HORIZON"))))</f>
        <v>IN HORIZON</v>
      </c>
    </row>
    <row r="70" spans="1:8" ht="22" customHeight="1">
      <c r="A70" s="1" t="str">
        <f>IF('Case calculations'!C27&lt;&gt;"OK","",'Case calculations'!A27)</f>
        <v>I-022</v>
      </c>
      <c r="B70" s="1" t="str">
        <f>IF(A70="","",'Case calculations'!B27)</f>
        <v>INITIAL</v>
      </c>
      <c r="C70" s="1" t="str">
        <f>IF(A70="","","RECON")</f>
        <v>RECON</v>
      </c>
      <c r="D70" s="19">
        <f>IF(A70="","",'Case calculations'!O27)</f>
        <v>0.15300000000000002</v>
      </c>
      <c r="E70" s="10">
        <f>IF(A70="","",Assumptions!$B$29)</f>
        <v>3000</v>
      </c>
      <c r="F70" s="10">
        <f t="shared" ref="F70:F133" si="1">IF(A70="","",D70*E70)</f>
        <v>459.00000000000006</v>
      </c>
      <c r="G70" s="7">
        <f>IF(A70="","",IF(D70=0,"",'Case calculations'!W27))</f>
        <v>46727</v>
      </c>
      <c r="H70" s="1" t="str">
        <f>IF(A70="","",IF(D70=0,"NO PATH",IF(G70&lt;Assumptions!$B$5,"BEFORE AS-OF",IF(G70&gt;=Assumptions!$B$7,"BEYOND HORIZON","IN HORIZON"))))</f>
        <v>IN HORIZON</v>
      </c>
    </row>
    <row r="71" spans="1:8" ht="22" customHeight="1">
      <c r="A71" s="1" t="str">
        <f>IF('Case calculations'!C27&lt;&gt;"OK","",'Case calculations'!A27)</f>
        <v>I-022</v>
      </c>
      <c r="B71" s="1" t="str">
        <f>IF(A71="","",'Case calculations'!B27)</f>
        <v>INITIAL</v>
      </c>
      <c r="C71" s="1" t="str">
        <f>IF(A71="","","HEARING")</f>
        <v>HEARING</v>
      </c>
      <c r="D71" s="19">
        <f>IF(A71="","",'Case calculations'!S27)</f>
        <v>0.30294000000000004</v>
      </c>
      <c r="E71" s="10">
        <f>IF(A71="","",Assumptions!$B$30)</f>
        <v>4500</v>
      </c>
      <c r="F71" s="10">
        <f t="shared" si="1"/>
        <v>1363.2300000000002</v>
      </c>
      <c r="G71" s="7">
        <f>IF(A71="","",IF(D71=0,"",'Case calculations'!X27))</f>
        <v>47063</v>
      </c>
      <c r="H71" s="1" t="str">
        <f>IF(A71="","",IF(D71=0,"NO PATH",IF(G71&lt;Assumptions!$B$5,"BEFORE AS-OF",IF(G71&gt;=Assumptions!$B$7,"BEYOND HORIZON","IN HORIZON"))))</f>
        <v>BEYOND HORIZON</v>
      </c>
    </row>
    <row r="72" spans="1:8" ht="22" customHeight="1">
      <c r="A72" s="1" t="str">
        <f>IF('Case calculations'!C28&lt;&gt;"OK","",'Case calculations'!A28)</f>
        <v>I-023</v>
      </c>
      <c r="B72" s="1" t="str">
        <f>IF(A72="","",'Case calculations'!B28)</f>
        <v>INITIAL</v>
      </c>
      <c r="C72" s="1" t="str">
        <f>IF(A72="","","INITIAL")</f>
        <v>INITIAL</v>
      </c>
      <c r="D72" s="19">
        <f>IF(A72="","",'Case calculations'!N28)</f>
        <v>0.15</v>
      </c>
      <c r="E72" s="10">
        <f>IF(A72="","",Assumptions!$B$28)</f>
        <v>2000</v>
      </c>
      <c r="F72" s="10">
        <f t="shared" si="1"/>
        <v>300</v>
      </c>
      <c r="G72" s="7">
        <f>IF(A72="","",IF(D72=0,"",'Case calculations'!V28))</f>
        <v>46485</v>
      </c>
      <c r="H72" s="1" t="str">
        <f>IF(A72="","",IF(D72=0,"NO PATH",IF(G72&lt;Assumptions!$B$5,"BEFORE AS-OF",IF(G72&gt;=Assumptions!$B$7,"BEYOND HORIZON","IN HORIZON"))))</f>
        <v>IN HORIZON</v>
      </c>
    </row>
    <row r="73" spans="1:8" ht="22" customHeight="1">
      <c r="A73" s="1" t="str">
        <f>IF('Case calculations'!C28&lt;&gt;"OK","",'Case calculations'!A28)</f>
        <v>I-023</v>
      </c>
      <c r="B73" s="1" t="str">
        <f>IF(A73="","",'Case calculations'!B28)</f>
        <v>INITIAL</v>
      </c>
      <c r="C73" s="1" t="str">
        <f>IF(A73="","","RECON")</f>
        <v>RECON</v>
      </c>
      <c r="D73" s="19">
        <f>IF(A73="","",'Case calculations'!O28)</f>
        <v>0.15300000000000002</v>
      </c>
      <c r="E73" s="10">
        <f>IF(A73="","",Assumptions!$B$29)</f>
        <v>3000</v>
      </c>
      <c r="F73" s="10">
        <f t="shared" si="1"/>
        <v>459.00000000000006</v>
      </c>
      <c r="G73" s="7">
        <f>IF(A73="","",IF(D73=0,"",'Case calculations'!W28))</f>
        <v>46727</v>
      </c>
      <c r="H73" s="1" t="str">
        <f>IF(A73="","",IF(D73=0,"NO PATH",IF(G73&lt;Assumptions!$B$5,"BEFORE AS-OF",IF(G73&gt;=Assumptions!$B$7,"BEYOND HORIZON","IN HORIZON"))))</f>
        <v>IN HORIZON</v>
      </c>
    </row>
    <row r="74" spans="1:8" ht="22" customHeight="1">
      <c r="A74" s="1" t="str">
        <f>IF('Case calculations'!C28&lt;&gt;"OK","",'Case calculations'!A28)</f>
        <v>I-023</v>
      </c>
      <c r="B74" s="1" t="str">
        <f>IF(A74="","",'Case calculations'!B28)</f>
        <v>INITIAL</v>
      </c>
      <c r="C74" s="1" t="str">
        <f>IF(A74="","","HEARING")</f>
        <v>HEARING</v>
      </c>
      <c r="D74" s="19">
        <f>IF(A74="","",'Case calculations'!S28)</f>
        <v>0.30294000000000004</v>
      </c>
      <c r="E74" s="10">
        <f>IF(A74="","",Assumptions!$B$30)</f>
        <v>4500</v>
      </c>
      <c r="F74" s="10">
        <f t="shared" si="1"/>
        <v>1363.2300000000002</v>
      </c>
      <c r="G74" s="7">
        <f>IF(A74="","",IF(D74=0,"",'Case calculations'!X28))</f>
        <v>47063</v>
      </c>
      <c r="H74" s="1" t="str">
        <f>IF(A74="","",IF(D74=0,"NO PATH",IF(G74&lt;Assumptions!$B$5,"BEFORE AS-OF",IF(G74&gt;=Assumptions!$B$7,"BEYOND HORIZON","IN HORIZON"))))</f>
        <v>BEYOND HORIZON</v>
      </c>
    </row>
    <row r="75" spans="1:8" ht="22" customHeight="1">
      <c r="A75" s="1" t="str">
        <f>IF('Case calculations'!C29&lt;&gt;"OK","",'Case calculations'!A29)</f>
        <v>I-024</v>
      </c>
      <c r="B75" s="1" t="str">
        <f>IF(A75="","",'Case calculations'!B29)</f>
        <v>INITIAL</v>
      </c>
      <c r="C75" s="1" t="str">
        <f>IF(A75="","","INITIAL")</f>
        <v>INITIAL</v>
      </c>
      <c r="D75" s="19">
        <f>IF(A75="","",'Case calculations'!N29)</f>
        <v>0.15</v>
      </c>
      <c r="E75" s="10">
        <f>IF(A75="","",Assumptions!$B$28)</f>
        <v>2000</v>
      </c>
      <c r="F75" s="10">
        <f t="shared" si="1"/>
        <v>300</v>
      </c>
      <c r="G75" s="7">
        <f>IF(A75="","",IF(D75=0,"",'Case calculations'!V29))</f>
        <v>46485</v>
      </c>
      <c r="H75" s="1" t="str">
        <f>IF(A75="","",IF(D75=0,"NO PATH",IF(G75&lt;Assumptions!$B$5,"BEFORE AS-OF",IF(G75&gt;=Assumptions!$B$7,"BEYOND HORIZON","IN HORIZON"))))</f>
        <v>IN HORIZON</v>
      </c>
    </row>
    <row r="76" spans="1:8" ht="22" customHeight="1">
      <c r="A76" s="1" t="str">
        <f>IF('Case calculations'!C29&lt;&gt;"OK","",'Case calculations'!A29)</f>
        <v>I-024</v>
      </c>
      <c r="B76" s="1" t="str">
        <f>IF(A76="","",'Case calculations'!B29)</f>
        <v>INITIAL</v>
      </c>
      <c r="C76" s="1" t="str">
        <f>IF(A76="","","RECON")</f>
        <v>RECON</v>
      </c>
      <c r="D76" s="19">
        <f>IF(A76="","",'Case calculations'!O29)</f>
        <v>0.15300000000000002</v>
      </c>
      <c r="E76" s="10">
        <f>IF(A76="","",Assumptions!$B$29)</f>
        <v>3000</v>
      </c>
      <c r="F76" s="10">
        <f t="shared" si="1"/>
        <v>459.00000000000006</v>
      </c>
      <c r="G76" s="7">
        <f>IF(A76="","",IF(D76=0,"",'Case calculations'!W29))</f>
        <v>46727</v>
      </c>
      <c r="H76" s="1" t="str">
        <f>IF(A76="","",IF(D76=0,"NO PATH",IF(G76&lt;Assumptions!$B$5,"BEFORE AS-OF",IF(G76&gt;=Assumptions!$B$7,"BEYOND HORIZON","IN HORIZON"))))</f>
        <v>IN HORIZON</v>
      </c>
    </row>
    <row r="77" spans="1:8" ht="22" customHeight="1">
      <c r="A77" s="1" t="str">
        <f>IF('Case calculations'!C29&lt;&gt;"OK","",'Case calculations'!A29)</f>
        <v>I-024</v>
      </c>
      <c r="B77" s="1" t="str">
        <f>IF(A77="","",'Case calculations'!B29)</f>
        <v>INITIAL</v>
      </c>
      <c r="C77" s="1" t="str">
        <f>IF(A77="","","HEARING")</f>
        <v>HEARING</v>
      </c>
      <c r="D77" s="19">
        <f>IF(A77="","",'Case calculations'!S29)</f>
        <v>0.30294000000000004</v>
      </c>
      <c r="E77" s="10">
        <f>IF(A77="","",Assumptions!$B$30)</f>
        <v>4500</v>
      </c>
      <c r="F77" s="10">
        <f t="shared" si="1"/>
        <v>1363.2300000000002</v>
      </c>
      <c r="G77" s="7">
        <f>IF(A77="","",IF(D77=0,"",'Case calculations'!X29))</f>
        <v>47063</v>
      </c>
      <c r="H77" s="1" t="str">
        <f>IF(A77="","",IF(D77=0,"NO PATH",IF(G77&lt;Assumptions!$B$5,"BEFORE AS-OF",IF(G77&gt;=Assumptions!$B$7,"BEYOND HORIZON","IN HORIZON"))))</f>
        <v>BEYOND HORIZON</v>
      </c>
    </row>
    <row r="78" spans="1:8" ht="22" customHeight="1">
      <c r="A78" s="1" t="str">
        <f>IF('Case calculations'!C30&lt;&gt;"OK","",'Case calculations'!A30)</f>
        <v>I-025</v>
      </c>
      <c r="B78" s="1" t="str">
        <f>IF(A78="","",'Case calculations'!B30)</f>
        <v>INITIAL</v>
      </c>
      <c r="C78" s="1" t="str">
        <f>IF(A78="","","INITIAL")</f>
        <v>INITIAL</v>
      </c>
      <c r="D78" s="19">
        <f>IF(A78="","",'Case calculations'!N30)</f>
        <v>0.15</v>
      </c>
      <c r="E78" s="10">
        <f>IF(A78="","",Assumptions!$B$28)</f>
        <v>2000</v>
      </c>
      <c r="F78" s="10">
        <f t="shared" si="1"/>
        <v>300</v>
      </c>
      <c r="G78" s="7">
        <f>IF(A78="","",IF(D78=0,"",'Case calculations'!V30))</f>
        <v>46485</v>
      </c>
      <c r="H78" s="1" t="str">
        <f>IF(A78="","",IF(D78=0,"NO PATH",IF(G78&lt;Assumptions!$B$5,"BEFORE AS-OF",IF(G78&gt;=Assumptions!$B$7,"BEYOND HORIZON","IN HORIZON"))))</f>
        <v>IN HORIZON</v>
      </c>
    </row>
    <row r="79" spans="1:8" ht="22" customHeight="1">
      <c r="A79" s="1" t="str">
        <f>IF('Case calculations'!C30&lt;&gt;"OK","",'Case calculations'!A30)</f>
        <v>I-025</v>
      </c>
      <c r="B79" s="1" t="str">
        <f>IF(A79="","",'Case calculations'!B30)</f>
        <v>INITIAL</v>
      </c>
      <c r="C79" s="1" t="str">
        <f>IF(A79="","","RECON")</f>
        <v>RECON</v>
      </c>
      <c r="D79" s="19">
        <f>IF(A79="","",'Case calculations'!O30)</f>
        <v>0.15300000000000002</v>
      </c>
      <c r="E79" s="10">
        <f>IF(A79="","",Assumptions!$B$29)</f>
        <v>3000</v>
      </c>
      <c r="F79" s="10">
        <f t="shared" si="1"/>
        <v>459.00000000000006</v>
      </c>
      <c r="G79" s="7">
        <f>IF(A79="","",IF(D79=0,"",'Case calculations'!W30))</f>
        <v>46727</v>
      </c>
      <c r="H79" s="1" t="str">
        <f>IF(A79="","",IF(D79=0,"NO PATH",IF(G79&lt;Assumptions!$B$5,"BEFORE AS-OF",IF(G79&gt;=Assumptions!$B$7,"BEYOND HORIZON","IN HORIZON"))))</f>
        <v>IN HORIZON</v>
      </c>
    </row>
    <row r="80" spans="1:8" ht="22" customHeight="1">
      <c r="A80" s="1" t="str">
        <f>IF('Case calculations'!C30&lt;&gt;"OK","",'Case calculations'!A30)</f>
        <v>I-025</v>
      </c>
      <c r="B80" s="1" t="str">
        <f>IF(A80="","",'Case calculations'!B30)</f>
        <v>INITIAL</v>
      </c>
      <c r="C80" s="1" t="str">
        <f>IF(A80="","","HEARING")</f>
        <v>HEARING</v>
      </c>
      <c r="D80" s="19">
        <f>IF(A80="","",'Case calculations'!S30)</f>
        <v>0.30294000000000004</v>
      </c>
      <c r="E80" s="10">
        <f>IF(A80="","",Assumptions!$B$30)</f>
        <v>4500</v>
      </c>
      <c r="F80" s="10">
        <f t="shared" si="1"/>
        <v>1363.2300000000002</v>
      </c>
      <c r="G80" s="7">
        <f>IF(A80="","",IF(D80=0,"",'Case calculations'!X30))</f>
        <v>47063</v>
      </c>
      <c r="H80" s="1" t="str">
        <f>IF(A80="","",IF(D80=0,"NO PATH",IF(G80&lt;Assumptions!$B$5,"BEFORE AS-OF",IF(G80&gt;=Assumptions!$B$7,"BEYOND HORIZON","IN HORIZON"))))</f>
        <v>BEYOND HORIZON</v>
      </c>
    </row>
    <row r="81" spans="1:8" ht="22" customHeight="1">
      <c r="A81" s="1" t="str">
        <f>IF('Case calculations'!C31&lt;&gt;"OK","",'Case calculations'!A31)</f>
        <v>R-001</v>
      </c>
      <c r="B81" s="1" t="str">
        <f>IF(A81="","",'Case calculations'!B31)</f>
        <v>RECON</v>
      </c>
      <c r="C81" s="1" t="str">
        <f>IF(A81="","","INITIAL")</f>
        <v>INITIAL</v>
      </c>
      <c r="D81" s="19">
        <f>IF(A81="","",'Case calculations'!N31)</f>
        <v>0</v>
      </c>
      <c r="E81" s="10">
        <f>IF(A81="","",Assumptions!$B$28)</f>
        <v>2000</v>
      </c>
      <c r="F81" s="10">
        <f t="shared" si="1"/>
        <v>0</v>
      </c>
      <c r="G81" s="7" t="str">
        <f>IF(A81="","",IF(D81=0,"",'Case calculations'!V31))</f>
        <v/>
      </c>
      <c r="H81" s="1" t="str">
        <f>IF(A81="","",IF(D81=0,"NO PATH",IF(G81&lt;Assumptions!$B$5,"BEFORE AS-OF",IF(G81&gt;=Assumptions!$B$7,"BEYOND HORIZON","IN HORIZON"))))</f>
        <v>NO PATH</v>
      </c>
    </row>
    <row r="82" spans="1:8" ht="22" customHeight="1">
      <c r="A82" s="1" t="str">
        <f>IF('Case calculations'!C31&lt;&gt;"OK","",'Case calculations'!A31)</f>
        <v>R-001</v>
      </c>
      <c r="B82" s="1" t="str">
        <f>IF(A82="","",'Case calculations'!B31)</f>
        <v>RECON</v>
      </c>
      <c r="C82" s="1" t="str">
        <f>IF(A82="","","RECON")</f>
        <v>RECON</v>
      </c>
      <c r="D82" s="19">
        <f>IF(A82="","",'Case calculations'!O31)</f>
        <v>0.2</v>
      </c>
      <c r="E82" s="10">
        <f>IF(A82="","",Assumptions!$B$29)</f>
        <v>3000</v>
      </c>
      <c r="F82" s="10">
        <f t="shared" si="1"/>
        <v>600</v>
      </c>
      <c r="G82" s="7">
        <f>IF(A82="","",IF(D82=0,"",'Case calculations'!W31))</f>
        <v>46385</v>
      </c>
      <c r="H82" s="1" t="str">
        <f>IF(A82="","",IF(D82=0,"NO PATH",IF(G82&lt;Assumptions!$B$5,"BEFORE AS-OF",IF(G82&gt;=Assumptions!$B$7,"BEYOND HORIZON","IN HORIZON"))))</f>
        <v>IN HORIZON</v>
      </c>
    </row>
    <row r="83" spans="1:8" ht="22" customHeight="1">
      <c r="A83" s="1" t="str">
        <f>IF('Case calculations'!C31&lt;&gt;"OK","",'Case calculations'!A31)</f>
        <v>R-001</v>
      </c>
      <c r="B83" s="1" t="str">
        <f>IF(A83="","",'Case calculations'!B31)</f>
        <v>RECON</v>
      </c>
      <c r="C83" s="1" t="str">
        <f>IF(A83="","","HEARING")</f>
        <v>HEARING</v>
      </c>
      <c r="D83" s="19">
        <f>IF(A83="","",'Case calculations'!S31)</f>
        <v>0.39600000000000007</v>
      </c>
      <c r="E83" s="10">
        <f>IF(A83="","",Assumptions!$B$30)</f>
        <v>4500</v>
      </c>
      <c r="F83" s="10">
        <f t="shared" si="1"/>
        <v>1782.0000000000002</v>
      </c>
      <c r="G83" s="7">
        <f>IF(A83="","",IF(D83=0,"",'Case calculations'!X31))</f>
        <v>46720</v>
      </c>
      <c r="H83" s="1" t="str">
        <f>IF(A83="","",IF(D83=0,"NO PATH",IF(G83&lt;Assumptions!$B$5,"BEFORE AS-OF",IF(G83&gt;=Assumptions!$B$7,"BEYOND HORIZON","IN HORIZON"))))</f>
        <v>IN HORIZON</v>
      </c>
    </row>
    <row r="84" spans="1:8" ht="22" customHeight="1">
      <c r="A84" s="1" t="str">
        <f>IF('Case calculations'!C32&lt;&gt;"OK","",'Case calculations'!A32)</f>
        <v>R-002</v>
      </c>
      <c r="B84" s="1" t="str">
        <f>IF(A84="","",'Case calculations'!B32)</f>
        <v>RECON</v>
      </c>
      <c r="C84" s="1" t="str">
        <f>IF(A84="","","INITIAL")</f>
        <v>INITIAL</v>
      </c>
      <c r="D84" s="19">
        <f>IF(A84="","",'Case calculations'!N32)</f>
        <v>0</v>
      </c>
      <c r="E84" s="10">
        <f>IF(A84="","",Assumptions!$B$28)</f>
        <v>2000</v>
      </c>
      <c r="F84" s="10">
        <f t="shared" si="1"/>
        <v>0</v>
      </c>
      <c r="G84" s="7" t="str">
        <f>IF(A84="","",IF(D84=0,"",'Case calculations'!V32))</f>
        <v/>
      </c>
      <c r="H84" s="1" t="str">
        <f>IF(A84="","",IF(D84=0,"NO PATH",IF(G84&lt;Assumptions!$B$5,"BEFORE AS-OF",IF(G84&gt;=Assumptions!$B$7,"BEYOND HORIZON","IN HORIZON"))))</f>
        <v>NO PATH</v>
      </c>
    </row>
    <row r="85" spans="1:8" ht="22" customHeight="1">
      <c r="A85" s="1" t="str">
        <f>IF('Case calculations'!C32&lt;&gt;"OK","",'Case calculations'!A32)</f>
        <v>R-002</v>
      </c>
      <c r="B85" s="1" t="str">
        <f>IF(A85="","",'Case calculations'!B32)</f>
        <v>RECON</v>
      </c>
      <c r="C85" s="1" t="str">
        <f>IF(A85="","","RECON")</f>
        <v>RECON</v>
      </c>
      <c r="D85" s="19">
        <f>IF(A85="","",'Case calculations'!O32)</f>
        <v>0.2</v>
      </c>
      <c r="E85" s="10">
        <f>IF(A85="","",Assumptions!$B$29)</f>
        <v>3000</v>
      </c>
      <c r="F85" s="10">
        <f t="shared" si="1"/>
        <v>600</v>
      </c>
      <c r="G85" s="7">
        <f>IF(A85="","",IF(D85=0,"",'Case calculations'!W32))</f>
        <v>46385</v>
      </c>
      <c r="H85" s="1" t="str">
        <f>IF(A85="","",IF(D85=0,"NO PATH",IF(G85&lt;Assumptions!$B$5,"BEFORE AS-OF",IF(G85&gt;=Assumptions!$B$7,"BEYOND HORIZON","IN HORIZON"))))</f>
        <v>IN HORIZON</v>
      </c>
    </row>
    <row r="86" spans="1:8" ht="22" customHeight="1">
      <c r="A86" s="1" t="str">
        <f>IF('Case calculations'!C32&lt;&gt;"OK","",'Case calculations'!A32)</f>
        <v>R-002</v>
      </c>
      <c r="B86" s="1" t="str">
        <f>IF(A86="","",'Case calculations'!B32)</f>
        <v>RECON</v>
      </c>
      <c r="C86" s="1" t="str">
        <f>IF(A86="","","HEARING")</f>
        <v>HEARING</v>
      </c>
      <c r="D86" s="19">
        <f>IF(A86="","",'Case calculations'!S32)</f>
        <v>0.39600000000000007</v>
      </c>
      <c r="E86" s="10">
        <f>IF(A86="","",Assumptions!$B$30)</f>
        <v>4500</v>
      </c>
      <c r="F86" s="10">
        <f t="shared" si="1"/>
        <v>1782.0000000000002</v>
      </c>
      <c r="G86" s="7">
        <f>IF(A86="","",IF(D86=0,"",'Case calculations'!X32))</f>
        <v>46720</v>
      </c>
      <c r="H86" s="1" t="str">
        <f>IF(A86="","",IF(D86=0,"NO PATH",IF(G86&lt;Assumptions!$B$5,"BEFORE AS-OF",IF(G86&gt;=Assumptions!$B$7,"BEYOND HORIZON","IN HORIZON"))))</f>
        <v>IN HORIZON</v>
      </c>
    </row>
    <row r="87" spans="1:8" ht="22" customHeight="1">
      <c r="A87" s="1" t="str">
        <f>IF('Case calculations'!C33&lt;&gt;"OK","",'Case calculations'!A33)</f>
        <v>R-003</v>
      </c>
      <c r="B87" s="1" t="str">
        <f>IF(A87="","",'Case calculations'!B33)</f>
        <v>RECON</v>
      </c>
      <c r="C87" s="1" t="str">
        <f>IF(A87="","","INITIAL")</f>
        <v>INITIAL</v>
      </c>
      <c r="D87" s="19">
        <f>IF(A87="","",'Case calculations'!N33)</f>
        <v>0</v>
      </c>
      <c r="E87" s="10">
        <f>IF(A87="","",Assumptions!$B$28)</f>
        <v>2000</v>
      </c>
      <c r="F87" s="10">
        <f t="shared" si="1"/>
        <v>0</v>
      </c>
      <c r="G87" s="7" t="str">
        <f>IF(A87="","",IF(D87=0,"",'Case calculations'!V33))</f>
        <v/>
      </c>
      <c r="H87" s="1" t="str">
        <f>IF(A87="","",IF(D87=0,"NO PATH",IF(G87&lt;Assumptions!$B$5,"BEFORE AS-OF",IF(G87&gt;=Assumptions!$B$7,"BEYOND HORIZON","IN HORIZON"))))</f>
        <v>NO PATH</v>
      </c>
    </row>
    <row r="88" spans="1:8" ht="22" customHeight="1">
      <c r="A88" s="1" t="str">
        <f>IF('Case calculations'!C33&lt;&gt;"OK","",'Case calculations'!A33)</f>
        <v>R-003</v>
      </c>
      <c r="B88" s="1" t="str">
        <f>IF(A88="","",'Case calculations'!B33)</f>
        <v>RECON</v>
      </c>
      <c r="C88" s="1" t="str">
        <f>IF(A88="","","RECON")</f>
        <v>RECON</v>
      </c>
      <c r="D88" s="19">
        <f>IF(A88="","",'Case calculations'!O33)</f>
        <v>0.2</v>
      </c>
      <c r="E88" s="10">
        <f>IF(A88="","",Assumptions!$B$29)</f>
        <v>3000</v>
      </c>
      <c r="F88" s="10">
        <f t="shared" si="1"/>
        <v>600</v>
      </c>
      <c r="G88" s="7">
        <f>IF(A88="","",IF(D88=0,"",'Case calculations'!W33))</f>
        <v>46385</v>
      </c>
      <c r="H88" s="1" t="str">
        <f>IF(A88="","",IF(D88=0,"NO PATH",IF(G88&lt;Assumptions!$B$5,"BEFORE AS-OF",IF(G88&gt;=Assumptions!$B$7,"BEYOND HORIZON","IN HORIZON"))))</f>
        <v>IN HORIZON</v>
      </c>
    </row>
    <row r="89" spans="1:8" ht="22" customHeight="1">
      <c r="A89" s="1" t="str">
        <f>IF('Case calculations'!C33&lt;&gt;"OK","",'Case calculations'!A33)</f>
        <v>R-003</v>
      </c>
      <c r="B89" s="1" t="str">
        <f>IF(A89="","",'Case calculations'!B33)</f>
        <v>RECON</v>
      </c>
      <c r="C89" s="1" t="str">
        <f>IF(A89="","","HEARING")</f>
        <v>HEARING</v>
      </c>
      <c r="D89" s="19">
        <f>IF(A89="","",'Case calculations'!S33)</f>
        <v>0.39600000000000007</v>
      </c>
      <c r="E89" s="10">
        <f>IF(A89="","",Assumptions!$B$30)</f>
        <v>4500</v>
      </c>
      <c r="F89" s="10">
        <f t="shared" si="1"/>
        <v>1782.0000000000002</v>
      </c>
      <c r="G89" s="7">
        <f>IF(A89="","",IF(D89=0,"",'Case calculations'!X33))</f>
        <v>46720</v>
      </c>
      <c r="H89" s="1" t="str">
        <f>IF(A89="","",IF(D89=0,"NO PATH",IF(G89&lt;Assumptions!$B$5,"BEFORE AS-OF",IF(G89&gt;=Assumptions!$B$7,"BEYOND HORIZON","IN HORIZON"))))</f>
        <v>IN HORIZON</v>
      </c>
    </row>
    <row r="90" spans="1:8" ht="22" customHeight="1">
      <c r="A90" s="1" t="str">
        <f>IF('Case calculations'!C34&lt;&gt;"OK","",'Case calculations'!A34)</f>
        <v>R-004</v>
      </c>
      <c r="B90" s="1" t="str">
        <f>IF(A90="","",'Case calculations'!B34)</f>
        <v>RECON</v>
      </c>
      <c r="C90" s="1" t="str">
        <f>IF(A90="","","INITIAL")</f>
        <v>INITIAL</v>
      </c>
      <c r="D90" s="19">
        <f>IF(A90="","",'Case calculations'!N34)</f>
        <v>0</v>
      </c>
      <c r="E90" s="10">
        <f>IF(A90="","",Assumptions!$B$28)</f>
        <v>2000</v>
      </c>
      <c r="F90" s="10">
        <f t="shared" si="1"/>
        <v>0</v>
      </c>
      <c r="G90" s="7" t="str">
        <f>IF(A90="","",IF(D90=0,"",'Case calculations'!V34))</f>
        <v/>
      </c>
      <c r="H90" s="1" t="str">
        <f>IF(A90="","",IF(D90=0,"NO PATH",IF(G90&lt;Assumptions!$B$5,"BEFORE AS-OF",IF(G90&gt;=Assumptions!$B$7,"BEYOND HORIZON","IN HORIZON"))))</f>
        <v>NO PATH</v>
      </c>
    </row>
    <row r="91" spans="1:8" ht="22" customHeight="1">
      <c r="A91" s="1" t="str">
        <f>IF('Case calculations'!C34&lt;&gt;"OK","",'Case calculations'!A34)</f>
        <v>R-004</v>
      </c>
      <c r="B91" s="1" t="str">
        <f>IF(A91="","",'Case calculations'!B34)</f>
        <v>RECON</v>
      </c>
      <c r="C91" s="1" t="str">
        <f>IF(A91="","","RECON")</f>
        <v>RECON</v>
      </c>
      <c r="D91" s="19">
        <f>IF(A91="","",'Case calculations'!O34)</f>
        <v>0.2</v>
      </c>
      <c r="E91" s="10">
        <f>IF(A91="","",Assumptions!$B$29)</f>
        <v>3000</v>
      </c>
      <c r="F91" s="10">
        <f t="shared" si="1"/>
        <v>600</v>
      </c>
      <c r="G91" s="7">
        <f>IF(A91="","",IF(D91=0,"",'Case calculations'!W34))</f>
        <v>46385</v>
      </c>
      <c r="H91" s="1" t="str">
        <f>IF(A91="","",IF(D91=0,"NO PATH",IF(G91&lt;Assumptions!$B$5,"BEFORE AS-OF",IF(G91&gt;=Assumptions!$B$7,"BEYOND HORIZON","IN HORIZON"))))</f>
        <v>IN HORIZON</v>
      </c>
    </row>
    <row r="92" spans="1:8" ht="22" customHeight="1">
      <c r="A92" s="1" t="str">
        <f>IF('Case calculations'!C34&lt;&gt;"OK","",'Case calculations'!A34)</f>
        <v>R-004</v>
      </c>
      <c r="B92" s="1" t="str">
        <f>IF(A92="","",'Case calculations'!B34)</f>
        <v>RECON</v>
      </c>
      <c r="C92" s="1" t="str">
        <f>IF(A92="","","HEARING")</f>
        <v>HEARING</v>
      </c>
      <c r="D92" s="19">
        <f>IF(A92="","",'Case calculations'!S34)</f>
        <v>0.39600000000000007</v>
      </c>
      <c r="E92" s="10">
        <f>IF(A92="","",Assumptions!$B$30)</f>
        <v>4500</v>
      </c>
      <c r="F92" s="10">
        <f t="shared" si="1"/>
        <v>1782.0000000000002</v>
      </c>
      <c r="G92" s="7">
        <f>IF(A92="","",IF(D92=0,"",'Case calculations'!X34))</f>
        <v>46720</v>
      </c>
      <c r="H92" s="1" t="str">
        <f>IF(A92="","",IF(D92=0,"NO PATH",IF(G92&lt;Assumptions!$B$5,"BEFORE AS-OF",IF(G92&gt;=Assumptions!$B$7,"BEYOND HORIZON","IN HORIZON"))))</f>
        <v>IN HORIZON</v>
      </c>
    </row>
    <row r="93" spans="1:8" ht="22" customHeight="1">
      <c r="A93" s="1" t="str">
        <f>IF('Case calculations'!C35&lt;&gt;"OK","",'Case calculations'!A35)</f>
        <v>R-005</v>
      </c>
      <c r="B93" s="1" t="str">
        <f>IF(A93="","",'Case calculations'!B35)</f>
        <v>RECON</v>
      </c>
      <c r="C93" s="1" t="str">
        <f>IF(A93="","","INITIAL")</f>
        <v>INITIAL</v>
      </c>
      <c r="D93" s="19">
        <f>IF(A93="","",'Case calculations'!N35)</f>
        <v>0</v>
      </c>
      <c r="E93" s="10">
        <f>IF(A93="","",Assumptions!$B$28)</f>
        <v>2000</v>
      </c>
      <c r="F93" s="10">
        <f t="shared" si="1"/>
        <v>0</v>
      </c>
      <c r="G93" s="7" t="str">
        <f>IF(A93="","",IF(D93=0,"",'Case calculations'!V35))</f>
        <v/>
      </c>
      <c r="H93" s="1" t="str">
        <f>IF(A93="","",IF(D93=0,"NO PATH",IF(G93&lt;Assumptions!$B$5,"BEFORE AS-OF",IF(G93&gt;=Assumptions!$B$7,"BEYOND HORIZON","IN HORIZON"))))</f>
        <v>NO PATH</v>
      </c>
    </row>
    <row r="94" spans="1:8" ht="22" customHeight="1">
      <c r="A94" s="1" t="str">
        <f>IF('Case calculations'!C35&lt;&gt;"OK","",'Case calculations'!A35)</f>
        <v>R-005</v>
      </c>
      <c r="B94" s="1" t="str">
        <f>IF(A94="","",'Case calculations'!B35)</f>
        <v>RECON</v>
      </c>
      <c r="C94" s="1" t="str">
        <f>IF(A94="","","RECON")</f>
        <v>RECON</v>
      </c>
      <c r="D94" s="19">
        <f>IF(A94="","",'Case calculations'!O35)</f>
        <v>0.2</v>
      </c>
      <c r="E94" s="10">
        <f>IF(A94="","",Assumptions!$B$29)</f>
        <v>3000</v>
      </c>
      <c r="F94" s="10">
        <f t="shared" si="1"/>
        <v>600</v>
      </c>
      <c r="G94" s="7">
        <f>IF(A94="","",IF(D94=0,"",'Case calculations'!W35))</f>
        <v>46385</v>
      </c>
      <c r="H94" s="1" t="str">
        <f>IF(A94="","",IF(D94=0,"NO PATH",IF(G94&lt;Assumptions!$B$5,"BEFORE AS-OF",IF(G94&gt;=Assumptions!$B$7,"BEYOND HORIZON","IN HORIZON"))))</f>
        <v>IN HORIZON</v>
      </c>
    </row>
    <row r="95" spans="1:8" ht="22" customHeight="1">
      <c r="A95" s="1" t="str">
        <f>IF('Case calculations'!C35&lt;&gt;"OK","",'Case calculations'!A35)</f>
        <v>R-005</v>
      </c>
      <c r="B95" s="1" t="str">
        <f>IF(A95="","",'Case calculations'!B35)</f>
        <v>RECON</v>
      </c>
      <c r="C95" s="1" t="str">
        <f>IF(A95="","","HEARING")</f>
        <v>HEARING</v>
      </c>
      <c r="D95" s="19">
        <f>IF(A95="","",'Case calculations'!S35)</f>
        <v>0.39600000000000007</v>
      </c>
      <c r="E95" s="10">
        <f>IF(A95="","",Assumptions!$B$30)</f>
        <v>4500</v>
      </c>
      <c r="F95" s="10">
        <f t="shared" si="1"/>
        <v>1782.0000000000002</v>
      </c>
      <c r="G95" s="7">
        <f>IF(A95="","",IF(D95=0,"",'Case calculations'!X35))</f>
        <v>46720</v>
      </c>
      <c r="H95" s="1" t="str">
        <f>IF(A95="","",IF(D95=0,"NO PATH",IF(G95&lt;Assumptions!$B$5,"BEFORE AS-OF",IF(G95&gt;=Assumptions!$B$7,"BEYOND HORIZON","IN HORIZON"))))</f>
        <v>IN HORIZON</v>
      </c>
    </row>
    <row r="96" spans="1:8" ht="22" customHeight="1">
      <c r="A96" s="1" t="str">
        <f>IF('Case calculations'!C36&lt;&gt;"OK","",'Case calculations'!A36)</f>
        <v>R-006</v>
      </c>
      <c r="B96" s="1" t="str">
        <f>IF(A96="","",'Case calculations'!B36)</f>
        <v>RECON</v>
      </c>
      <c r="C96" s="1" t="str">
        <f>IF(A96="","","INITIAL")</f>
        <v>INITIAL</v>
      </c>
      <c r="D96" s="19">
        <f>IF(A96="","",'Case calculations'!N36)</f>
        <v>0</v>
      </c>
      <c r="E96" s="10">
        <f>IF(A96="","",Assumptions!$B$28)</f>
        <v>2000</v>
      </c>
      <c r="F96" s="10">
        <f t="shared" si="1"/>
        <v>0</v>
      </c>
      <c r="G96" s="7" t="str">
        <f>IF(A96="","",IF(D96=0,"",'Case calculations'!V36))</f>
        <v/>
      </c>
      <c r="H96" s="1" t="str">
        <f>IF(A96="","",IF(D96=0,"NO PATH",IF(G96&lt;Assumptions!$B$5,"BEFORE AS-OF",IF(G96&gt;=Assumptions!$B$7,"BEYOND HORIZON","IN HORIZON"))))</f>
        <v>NO PATH</v>
      </c>
    </row>
    <row r="97" spans="1:8" ht="22" customHeight="1">
      <c r="A97" s="1" t="str">
        <f>IF('Case calculations'!C36&lt;&gt;"OK","",'Case calculations'!A36)</f>
        <v>R-006</v>
      </c>
      <c r="B97" s="1" t="str">
        <f>IF(A97="","",'Case calculations'!B36)</f>
        <v>RECON</v>
      </c>
      <c r="C97" s="1" t="str">
        <f>IF(A97="","","RECON")</f>
        <v>RECON</v>
      </c>
      <c r="D97" s="19">
        <f>IF(A97="","",'Case calculations'!O36)</f>
        <v>0.2</v>
      </c>
      <c r="E97" s="10">
        <f>IF(A97="","",Assumptions!$B$29)</f>
        <v>3000</v>
      </c>
      <c r="F97" s="10">
        <f t="shared" si="1"/>
        <v>600</v>
      </c>
      <c r="G97" s="7">
        <f>IF(A97="","",IF(D97=0,"",'Case calculations'!W36))</f>
        <v>46385</v>
      </c>
      <c r="H97" s="1" t="str">
        <f>IF(A97="","",IF(D97=0,"NO PATH",IF(G97&lt;Assumptions!$B$5,"BEFORE AS-OF",IF(G97&gt;=Assumptions!$B$7,"BEYOND HORIZON","IN HORIZON"))))</f>
        <v>IN HORIZON</v>
      </c>
    </row>
    <row r="98" spans="1:8" ht="22" customHeight="1">
      <c r="A98" s="1" t="str">
        <f>IF('Case calculations'!C36&lt;&gt;"OK","",'Case calculations'!A36)</f>
        <v>R-006</v>
      </c>
      <c r="B98" s="1" t="str">
        <f>IF(A98="","",'Case calculations'!B36)</f>
        <v>RECON</v>
      </c>
      <c r="C98" s="1" t="str">
        <f>IF(A98="","","HEARING")</f>
        <v>HEARING</v>
      </c>
      <c r="D98" s="19">
        <f>IF(A98="","",'Case calculations'!S36)</f>
        <v>0.39600000000000007</v>
      </c>
      <c r="E98" s="10">
        <f>IF(A98="","",Assumptions!$B$30)</f>
        <v>4500</v>
      </c>
      <c r="F98" s="10">
        <f t="shared" si="1"/>
        <v>1782.0000000000002</v>
      </c>
      <c r="G98" s="7">
        <f>IF(A98="","",IF(D98=0,"",'Case calculations'!X36))</f>
        <v>46720</v>
      </c>
      <c r="H98" s="1" t="str">
        <f>IF(A98="","",IF(D98=0,"NO PATH",IF(G98&lt;Assumptions!$B$5,"BEFORE AS-OF",IF(G98&gt;=Assumptions!$B$7,"BEYOND HORIZON","IN HORIZON"))))</f>
        <v>IN HORIZON</v>
      </c>
    </row>
    <row r="99" spans="1:8" ht="22" customHeight="1">
      <c r="A99" s="1" t="str">
        <f>IF('Case calculations'!C37&lt;&gt;"OK","",'Case calculations'!A37)</f>
        <v>R-007</v>
      </c>
      <c r="B99" s="1" t="str">
        <f>IF(A99="","",'Case calculations'!B37)</f>
        <v>RECON</v>
      </c>
      <c r="C99" s="1" t="str">
        <f>IF(A99="","","INITIAL")</f>
        <v>INITIAL</v>
      </c>
      <c r="D99" s="19">
        <f>IF(A99="","",'Case calculations'!N37)</f>
        <v>0</v>
      </c>
      <c r="E99" s="10">
        <f>IF(A99="","",Assumptions!$B$28)</f>
        <v>2000</v>
      </c>
      <c r="F99" s="10">
        <f t="shared" si="1"/>
        <v>0</v>
      </c>
      <c r="G99" s="7" t="str">
        <f>IF(A99="","",IF(D99=0,"",'Case calculations'!V37))</f>
        <v/>
      </c>
      <c r="H99" s="1" t="str">
        <f>IF(A99="","",IF(D99=0,"NO PATH",IF(G99&lt;Assumptions!$B$5,"BEFORE AS-OF",IF(G99&gt;=Assumptions!$B$7,"BEYOND HORIZON","IN HORIZON"))))</f>
        <v>NO PATH</v>
      </c>
    </row>
    <row r="100" spans="1:8" ht="22" customHeight="1">
      <c r="A100" s="1" t="str">
        <f>IF('Case calculations'!C37&lt;&gt;"OK","",'Case calculations'!A37)</f>
        <v>R-007</v>
      </c>
      <c r="B100" s="1" t="str">
        <f>IF(A100="","",'Case calculations'!B37)</f>
        <v>RECON</v>
      </c>
      <c r="C100" s="1" t="str">
        <f>IF(A100="","","RECON")</f>
        <v>RECON</v>
      </c>
      <c r="D100" s="19">
        <f>IF(A100="","",'Case calculations'!O37)</f>
        <v>0.2</v>
      </c>
      <c r="E100" s="10">
        <f>IF(A100="","",Assumptions!$B$29)</f>
        <v>3000</v>
      </c>
      <c r="F100" s="10">
        <f t="shared" si="1"/>
        <v>600</v>
      </c>
      <c r="G100" s="7">
        <f>IF(A100="","",IF(D100=0,"",'Case calculations'!W37))</f>
        <v>46385</v>
      </c>
      <c r="H100" s="1" t="str">
        <f>IF(A100="","",IF(D100=0,"NO PATH",IF(G100&lt;Assumptions!$B$5,"BEFORE AS-OF",IF(G100&gt;=Assumptions!$B$7,"BEYOND HORIZON","IN HORIZON"))))</f>
        <v>IN HORIZON</v>
      </c>
    </row>
    <row r="101" spans="1:8" ht="22" customHeight="1">
      <c r="A101" s="1" t="str">
        <f>IF('Case calculations'!C37&lt;&gt;"OK","",'Case calculations'!A37)</f>
        <v>R-007</v>
      </c>
      <c r="B101" s="1" t="str">
        <f>IF(A101="","",'Case calculations'!B37)</f>
        <v>RECON</v>
      </c>
      <c r="C101" s="1" t="str">
        <f>IF(A101="","","HEARING")</f>
        <v>HEARING</v>
      </c>
      <c r="D101" s="19">
        <f>IF(A101="","",'Case calculations'!S37)</f>
        <v>0.39600000000000007</v>
      </c>
      <c r="E101" s="10">
        <f>IF(A101="","",Assumptions!$B$30)</f>
        <v>4500</v>
      </c>
      <c r="F101" s="10">
        <f t="shared" si="1"/>
        <v>1782.0000000000002</v>
      </c>
      <c r="G101" s="7">
        <f>IF(A101="","",IF(D101=0,"",'Case calculations'!X37))</f>
        <v>46720</v>
      </c>
      <c r="H101" s="1" t="str">
        <f>IF(A101="","",IF(D101=0,"NO PATH",IF(G101&lt;Assumptions!$B$5,"BEFORE AS-OF",IF(G101&gt;=Assumptions!$B$7,"BEYOND HORIZON","IN HORIZON"))))</f>
        <v>IN HORIZON</v>
      </c>
    </row>
    <row r="102" spans="1:8" ht="22" customHeight="1">
      <c r="A102" s="1" t="str">
        <f>IF('Case calculations'!C38&lt;&gt;"OK","",'Case calculations'!A38)</f>
        <v>R-008</v>
      </c>
      <c r="B102" s="1" t="str">
        <f>IF(A102="","",'Case calculations'!B38)</f>
        <v>RECON</v>
      </c>
      <c r="C102" s="1" t="str">
        <f>IF(A102="","","INITIAL")</f>
        <v>INITIAL</v>
      </c>
      <c r="D102" s="19">
        <f>IF(A102="","",'Case calculations'!N38)</f>
        <v>0</v>
      </c>
      <c r="E102" s="10">
        <f>IF(A102="","",Assumptions!$B$28)</f>
        <v>2000</v>
      </c>
      <c r="F102" s="10">
        <f t="shared" si="1"/>
        <v>0</v>
      </c>
      <c r="G102" s="7" t="str">
        <f>IF(A102="","",IF(D102=0,"",'Case calculations'!V38))</f>
        <v/>
      </c>
      <c r="H102" s="1" t="str">
        <f>IF(A102="","",IF(D102=0,"NO PATH",IF(G102&lt;Assumptions!$B$5,"BEFORE AS-OF",IF(G102&gt;=Assumptions!$B$7,"BEYOND HORIZON","IN HORIZON"))))</f>
        <v>NO PATH</v>
      </c>
    </row>
    <row r="103" spans="1:8" ht="22" customHeight="1">
      <c r="A103" s="1" t="str">
        <f>IF('Case calculations'!C38&lt;&gt;"OK","",'Case calculations'!A38)</f>
        <v>R-008</v>
      </c>
      <c r="B103" s="1" t="str">
        <f>IF(A103="","",'Case calculations'!B38)</f>
        <v>RECON</v>
      </c>
      <c r="C103" s="1" t="str">
        <f>IF(A103="","","RECON")</f>
        <v>RECON</v>
      </c>
      <c r="D103" s="19">
        <f>IF(A103="","",'Case calculations'!O38)</f>
        <v>0.2</v>
      </c>
      <c r="E103" s="10">
        <f>IF(A103="","",Assumptions!$B$29)</f>
        <v>3000</v>
      </c>
      <c r="F103" s="10">
        <f t="shared" si="1"/>
        <v>600</v>
      </c>
      <c r="G103" s="7">
        <f>IF(A103="","",IF(D103=0,"",'Case calculations'!W38))</f>
        <v>46385</v>
      </c>
      <c r="H103" s="1" t="str">
        <f>IF(A103="","",IF(D103=0,"NO PATH",IF(G103&lt;Assumptions!$B$5,"BEFORE AS-OF",IF(G103&gt;=Assumptions!$B$7,"BEYOND HORIZON","IN HORIZON"))))</f>
        <v>IN HORIZON</v>
      </c>
    </row>
    <row r="104" spans="1:8" ht="22" customHeight="1">
      <c r="A104" s="1" t="str">
        <f>IF('Case calculations'!C38&lt;&gt;"OK","",'Case calculations'!A38)</f>
        <v>R-008</v>
      </c>
      <c r="B104" s="1" t="str">
        <f>IF(A104="","",'Case calculations'!B38)</f>
        <v>RECON</v>
      </c>
      <c r="C104" s="1" t="str">
        <f>IF(A104="","","HEARING")</f>
        <v>HEARING</v>
      </c>
      <c r="D104" s="19">
        <f>IF(A104="","",'Case calculations'!S38)</f>
        <v>0.39600000000000007</v>
      </c>
      <c r="E104" s="10">
        <f>IF(A104="","",Assumptions!$B$30)</f>
        <v>4500</v>
      </c>
      <c r="F104" s="10">
        <f t="shared" si="1"/>
        <v>1782.0000000000002</v>
      </c>
      <c r="G104" s="7">
        <f>IF(A104="","",IF(D104=0,"",'Case calculations'!X38))</f>
        <v>46720</v>
      </c>
      <c r="H104" s="1" t="str">
        <f>IF(A104="","",IF(D104=0,"NO PATH",IF(G104&lt;Assumptions!$B$5,"BEFORE AS-OF",IF(G104&gt;=Assumptions!$B$7,"BEYOND HORIZON","IN HORIZON"))))</f>
        <v>IN HORIZON</v>
      </c>
    </row>
    <row r="105" spans="1:8" ht="22" customHeight="1">
      <c r="A105" s="1" t="str">
        <f>IF('Case calculations'!C39&lt;&gt;"OK","",'Case calculations'!A39)</f>
        <v>R-009</v>
      </c>
      <c r="B105" s="1" t="str">
        <f>IF(A105="","",'Case calculations'!B39)</f>
        <v>RECON</v>
      </c>
      <c r="C105" s="1" t="str">
        <f>IF(A105="","","INITIAL")</f>
        <v>INITIAL</v>
      </c>
      <c r="D105" s="19">
        <f>IF(A105="","",'Case calculations'!N39)</f>
        <v>0</v>
      </c>
      <c r="E105" s="10">
        <f>IF(A105="","",Assumptions!$B$28)</f>
        <v>2000</v>
      </c>
      <c r="F105" s="10">
        <f t="shared" si="1"/>
        <v>0</v>
      </c>
      <c r="G105" s="7" t="str">
        <f>IF(A105="","",IF(D105=0,"",'Case calculations'!V39))</f>
        <v/>
      </c>
      <c r="H105" s="1" t="str">
        <f>IF(A105="","",IF(D105=0,"NO PATH",IF(G105&lt;Assumptions!$B$5,"BEFORE AS-OF",IF(G105&gt;=Assumptions!$B$7,"BEYOND HORIZON","IN HORIZON"))))</f>
        <v>NO PATH</v>
      </c>
    </row>
    <row r="106" spans="1:8" ht="22" customHeight="1">
      <c r="A106" s="1" t="str">
        <f>IF('Case calculations'!C39&lt;&gt;"OK","",'Case calculations'!A39)</f>
        <v>R-009</v>
      </c>
      <c r="B106" s="1" t="str">
        <f>IF(A106="","",'Case calculations'!B39)</f>
        <v>RECON</v>
      </c>
      <c r="C106" s="1" t="str">
        <f>IF(A106="","","RECON")</f>
        <v>RECON</v>
      </c>
      <c r="D106" s="19">
        <f>IF(A106="","",'Case calculations'!O39)</f>
        <v>0.2</v>
      </c>
      <c r="E106" s="10">
        <f>IF(A106="","",Assumptions!$B$29)</f>
        <v>3000</v>
      </c>
      <c r="F106" s="10">
        <f t="shared" si="1"/>
        <v>600</v>
      </c>
      <c r="G106" s="7">
        <f>IF(A106="","",IF(D106=0,"",'Case calculations'!W39))</f>
        <v>46385</v>
      </c>
      <c r="H106" s="1" t="str">
        <f>IF(A106="","",IF(D106=0,"NO PATH",IF(G106&lt;Assumptions!$B$5,"BEFORE AS-OF",IF(G106&gt;=Assumptions!$B$7,"BEYOND HORIZON","IN HORIZON"))))</f>
        <v>IN HORIZON</v>
      </c>
    </row>
    <row r="107" spans="1:8" ht="22" customHeight="1">
      <c r="A107" s="1" t="str">
        <f>IF('Case calculations'!C39&lt;&gt;"OK","",'Case calculations'!A39)</f>
        <v>R-009</v>
      </c>
      <c r="B107" s="1" t="str">
        <f>IF(A107="","",'Case calculations'!B39)</f>
        <v>RECON</v>
      </c>
      <c r="C107" s="1" t="str">
        <f>IF(A107="","","HEARING")</f>
        <v>HEARING</v>
      </c>
      <c r="D107" s="19">
        <f>IF(A107="","",'Case calculations'!S39)</f>
        <v>0.39600000000000007</v>
      </c>
      <c r="E107" s="10">
        <f>IF(A107="","",Assumptions!$B$30)</f>
        <v>4500</v>
      </c>
      <c r="F107" s="10">
        <f t="shared" si="1"/>
        <v>1782.0000000000002</v>
      </c>
      <c r="G107" s="7">
        <f>IF(A107="","",IF(D107=0,"",'Case calculations'!X39))</f>
        <v>46720</v>
      </c>
      <c r="H107" s="1" t="str">
        <f>IF(A107="","",IF(D107=0,"NO PATH",IF(G107&lt;Assumptions!$B$5,"BEFORE AS-OF",IF(G107&gt;=Assumptions!$B$7,"BEYOND HORIZON","IN HORIZON"))))</f>
        <v>IN HORIZON</v>
      </c>
    </row>
    <row r="108" spans="1:8" ht="22" customHeight="1">
      <c r="A108" s="1" t="str">
        <f>IF('Case calculations'!C40&lt;&gt;"OK","",'Case calculations'!A40)</f>
        <v>R-010</v>
      </c>
      <c r="B108" s="1" t="str">
        <f>IF(A108="","",'Case calculations'!B40)</f>
        <v>RECON</v>
      </c>
      <c r="C108" s="1" t="str">
        <f>IF(A108="","","INITIAL")</f>
        <v>INITIAL</v>
      </c>
      <c r="D108" s="19">
        <f>IF(A108="","",'Case calculations'!N40)</f>
        <v>0</v>
      </c>
      <c r="E108" s="10">
        <f>IF(A108="","",Assumptions!$B$28)</f>
        <v>2000</v>
      </c>
      <c r="F108" s="10">
        <f t="shared" si="1"/>
        <v>0</v>
      </c>
      <c r="G108" s="7" t="str">
        <f>IF(A108="","",IF(D108=0,"",'Case calculations'!V40))</f>
        <v/>
      </c>
      <c r="H108" s="1" t="str">
        <f>IF(A108="","",IF(D108=0,"NO PATH",IF(G108&lt;Assumptions!$B$5,"BEFORE AS-OF",IF(G108&gt;=Assumptions!$B$7,"BEYOND HORIZON","IN HORIZON"))))</f>
        <v>NO PATH</v>
      </c>
    </row>
    <row r="109" spans="1:8" ht="22" customHeight="1">
      <c r="A109" s="1" t="str">
        <f>IF('Case calculations'!C40&lt;&gt;"OK","",'Case calculations'!A40)</f>
        <v>R-010</v>
      </c>
      <c r="B109" s="1" t="str">
        <f>IF(A109="","",'Case calculations'!B40)</f>
        <v>RECON</v>
      </c>
      <c r="C109" s="1" t="str">
        <f>IF(A109="","","RECON")</f>
        <v>RECON</v>
      </c>
      <c r="D109" s="19">
        <f>IF(A109="","",'Case calculations'!O40)</f>
        <v>0.2</v>
      </c>
      <c r="E109" s="10">
        <f>IF(A109="","",Assumptions!$B$29)</f>
        <v>3000</v>
      </c>
      <c r="F109" s="10">
        <f t="shared" si="1"/>
        <v>600</v>
      </c>
      <c r="G109" s="7">
        <f>IF(A109="","",IF(D109=0,"",'Case calculations'!W40))</f>
        <v>46385</v>
      </c>
      <c r="H109" s="1" t="str">
        <f>IF(A109="","",IF(D109=0,"NO PATH",IF(G109&lt;Assumptions!$B$5,"BEFORE AS-OF",IF(G109&gt;=Assumptions!$B$7,"BEYOND HORIZON","IN HORIZON"))))</f>
        <v>IN HORIZON</v>
      </c>
    </row>
    <row r="110" spans="1:8" ht="22" customHeight="1">
      <c r="A110" s="1" t="str">
        <f>IF('Case calculations'!C40&lt;&gt;"OK","",'Case calculations'!A40)</f>
        <v>R-010</v>
      </c>
      <c r="B110" s="1" t="str">
        <f>IF(A110="","",'Case calculations'!B40)</f>
        <v>RECON</v>
      </c>
      <c r="C110" s="1" t="str">
        <f>IF(A110="","","HEARING")</f>
        <v>HEARING</v>
      </c>
      <c r="D110" s="19">
        <f>IF(A110="","",'Case calculations'!S40)</f>
        <v>0.39600000000000007</v>
      </c>
      <c r="E110" s="10">
        <f>IF(A110="","",Assumptions!$B$30)</f>
        <v>4500</v>
      </c>
      <c r="F110" s="10">
        <f t="shared" si="1"/>
        <v>1782.0000000000002</v>
      </c>
      <c r="G110" s="7">
        <f>IF(A110="","",IF(D110=0,"",'Case calculations'!X40))</f>
        <v>46720</v>
      </c>
      <c r="H110" s="1" t="str">
        <f>IF(A110="","",IF(D110=0,"NO PATH",IF(G110&lt;Assumptions!$B$5,"BEFORE AS-OF",IF(G110&gt;=Assumptions!$B$7,"BEYOND HORIZON","IN HORIZON"))))</f>
        <v>IN HORIZON</v>
      </c>
    </row>
    <row r="111" spans="1:8" ht="22" customHeight="1">
      <c r="A111" s="1" t="str">
        <f>IF('Case calculations'!C41&lt;&gt;"OK","",'Case calculations'!A41)</f>
        <v>R-011</v>
      </c>
      <c r="B111" s="1" t="str">
        <f>IF(A111="","",'Case calculations'!B41)</f>
        <v>RECON</v>
      </c>
      <c r="C111" s="1" t="str">
        <f>IF(A111="","","INITIAL")</f>
        <v>INITIAL</v>
      </c>
      <c r="D111" s="19">
        <f>IF(A111="","",'Case calculations'!N41)</f>
        <v>0</v>
      </c>
      <c r="E111" s="10">
        <f>IF(A111="","",Assumptions!$B$28)</f>
        <v>2000</v>
      </c>
      <c r="F111" s="10">
        <f t="shared" si="1"/>
        <v>0</v>
      </c>
      <c r="G111" s="7" t="str">
        <f>IF(A111="","",IF(D111=0,"",'Case calculations'!V41))</f>
        <v/>
      </c>
      <c r="H111" s="1" t="str">
        <f>IF(A111="","",IF(D111=0,"NO PATH",IF(G111&lt;Assumptions!$B$5,"BEFORE AS-OF",IF(G111&gt;=Assumptions!$B$7,"BEYOND HORIZON","IN HORIZON"))))</f>
        <v>NO PATH</v>
      </c>
    </row>
    <row r="112" spans="1:8" ht="22" customHeight="1">
      <c r="A112" s="1" t="str">
        <f>IF('Case calculations'!C41&lt;&gt;"OK","",'Case calculations'!A41)</f>
        <v>R-011</v>
      </c>
      <c r="B112" s="1" t="str">
        <f>IF(A112="","",'Case calculations'!B41)</f>
        <v>RECON</v>
      </c>
      <c r="C112" s="1" t="str">
        <f>IF(A112="","","RECON")</f>
        <v>RECON</v>
      </c>
      <c r="D112" s="19">
        <f>IF(A112="","",'Case calculations'!O41)</f>
        <v>0.2</v>
      </c>
      <c r="E112" s="10">
        <f>IF(A112="","",Assumptions!$B$29)</f>
        <v>3000</v>
      </c>
      <c r="F112" s="10">
        <f t="shared" si="1"/>
        <v>600</v>
      </c>
      <c r="G112" s="7">
        <f>IF(A112="","",IF(D112=0,"",'Case calculations'!W41))</f>
        <v>46417</v>
      </c>
      <c r="H112" s="1" t="str">
        <f>IF(A112="","",IF(D112=0,"NO PATH",IF(G112&lt;Assumptions!$B$5,"BEFORE AS-OF",IF(G112&gt;=Assumptions!$B$7,"BEYOND HORIZON","IN HORIZON"))))</f>
        <v>IN HORIZON</v>
      </c>
    </row>
    <row r="113" spans="1:8" ht="22" customHeight="1">
      <c r="A113" s="1" t="str">
        <f>IF('Case calculations'!C41&lt;&gt;"OK","",'Case calculations'!A41)</f>
        <v>R-011</v>
      </c>
      <c r="B113" s="1" t="str">
        <f>IF(A113="","",'Case calculations'!B41)</f>
        <v>RECON</v>
      </c>
      <c r="C113" s="1" t="str">
        <f>IF(A113="","","HEARING")</f>
        <v>HEARING</v>
      </c>
      <c r="D113" s="19">
        <f>IF(A113="","",'Case calculations'!S41)</f>
        <v>0.39600000000000007</v>
      </c>
      <c r="E113" s="10">
        <f>IF(A113="","",Assumptions!$B$30)</f>
        <v>4500</v>
      </c>
      <c r="F113" s="10">
        <f t="shared" si="1"/>
        <v>1782.0000000000002</v>
      </c>
      <c r="G113" s="7">
        <f>IF(A113="","",IF(D113=0,"",'Case calculations'!X41))</f>
        <v>46751</v>
      </c>
      <c r="H113" s="1" t="str">
        <f>IF(A113="","",IF(D113=0,"NO PATH",IF(G113&lt;Assumptions!$B$5,"BEFORE AS-OF",IF(G113&gt;=Assumptions!$B$7,"BEYOND HORIZON","IN HORIZON"))))</f>
        <v>IN HORIZON</v>
      </c>
    </row>
    <row r="114" spans="1:8" ht="22" customHeight="1">
      <c r="A114" s="1" t="str">
        <f>IF('Case calculations'!C42&lt;&gt;"OK","",'Case calculations'!A42)</f>
        <v>R-012</v>
      </c>
      <c r="B114" s="1" t="str">
        <f>IF(A114="","",'Case calculations'!B42)</f>
        <v>RECON</v>
      </c>
      <c r="C114" s="1" t="str">
        <f>IF(A114="","","INITIAL")</f>
        <v>INITIAL</v>
      </c>
      <c r="D114" s="19">
        <f>IF(A114="","",'Case calculations'!N42)</f>
        <v>0</v>
      </c>
      <c r="E114" s="10">
        <f>IF(A114="","",Assumptions!$B$28)</f>
        <v>2000</v>
      </c>
      <c r="F114" s="10">
        <f t="shared" si="1"/>
        <v>0</v>
      </c>
      <c r="G114" s="7" t="str">
        <f>IF(A114="","",IF(D114=0,"",'Case calculations'!V42))</f>
        <v/>
      </c>
      <c r="H114" s="1" t="str">
        <f>IF(A114="","",IF(D114=0,"NO PATH",IF(G114&lt;Assumptions!$B$5,"BEFORE AS-OF",IF(G114&gt;=Assumptions!$B$7,"BEYOND HORIZON","IN HORIZON"))))</f>
        <v>NO PATH</v>
      </c>
    </row>
    <row r="115" spans="1:8" ht="22" customHeight="1">
      <c r="A115" s="1" t="str">
        <f>IF('Case calculations'!C42&lt;&gt;"OK","",'Case calculations'!A42)</f>
        <v>R-012</v>
      </c>
      <c r="B115" s="1" t="str">
        <f>IF(A115="","",'Case calculations'!B42)</f>
        <v>RECON</v>
      </c>
      <c r="C115" s="1" t="str">
        <f>IF(A115="","","RECON")</f>
        <v>RECON</v>
      </c>
      <c r="D115" s="19">
        <f>IF(A115="","",'Case calculations'!O42)</f>
        <v>0.2</v>
      </c>
      <c r="E115" s="10">
        <f>IF(A115="","",Assumptions!$B$29)</f>
        <v>3000</v>
      </c>
      <c r="F115" s="10">
        <f t="shared" si="1"/>
        <v>600</v>
      </c>
      <c r="G115" s="7">
        <f>IF(A115="","",IF(D115=0,"",'Case calculations'!W42))</f>
        <v>46417</v>
      </c>
      <c r="H115" s="1" t="str">
        <f>IF(A115="","",IF(D115=0,"NO PATH",IF(G115&lt;Assumptions!$B$5,"BEFORE AS-OF",IF(G115&gt;=Assumptions!$B$7,"BEYOND HORIZON","IN HORIZON"))))</f>
        <v>IN HORIZON</v>
      </c>
    </row>
    <row r="116" spans="1:8" ht="22" customHeight="1">
      <c r="A116" s="1" t="str">
        <f>IF('Case calculations'!C42&lt;&gt;"OK","",'Case calculations'!A42)</f>
        <v>R-012</v>
      </c>
      <c r="B116" s="1" t="str">
        <f>IF(A116="","",'Case calculations'!B42)</f>
        <v>RECON</v>
      </c>
      <c r="C116" s="1" t="str">
        <f>IF(A116="","","HEARING")</f>
        <v>HEARING</v>
      </c>
      <c r="D116" s="19">
        <f>IF(A116="","",'Case calculations'!S42)</f>
        <v>0.39600000000000007</v>
      </c>
      <c r="E116" s="10">
        <f>IF(A116="","",Assumptions!$B$30)</f>
        <v>4500</v>
      </c>
      <c r="F116" s="10">
        <f t="shared" si="1"/>
        <v>1782.0000000000002</v>
      </c>
      <c r="G116" s="7">
        <f>IF(A116="","",IF(D116=0,"",'Case calculations'!X42))</f>
        <v>46751</v>
      </c>
      <c r="H116" s="1" t="str">
        <f>IF(A116="","",IF(D116=0,"NO PATH",IF(G116&lt;Assumptions!$B$5,"BEFORE AS-OF",IF(G116&gt;=Assumptions!$B$7,"BEYOND HORIZON","IN HORIZON"))))</f>
        <v>IN HORIZON</v>
      </c>
    </row>
    <row r="117" spans="1:8" ht="22" customHeight="1">
      <c r="A117" s="1" t="str">
        <f>IF('Case calculations'!C43&lt;&gt;"OK","",'Case calculations'!A43)</f>
        <v>R-013</v>
      </c>
      <c r="B117" s="1" t="str">
        <f>IF(A117="","",'Case calculations'!B43)</f>
        <v>RECON</v>
      </c>
      <c r="C117" s="1" t="str">
        <f>IF(A117="","","INITIAL")</f>
        <v>INITIAL</v>
      </c>
      <c r="D117" s="19">
        <f>IF(A117="","",'Case calculations'!N43)</f>
        <v>0</v>
      </c>
      <c r="E117" s="10">
        <f>IF(A117="","",Assumptions!$B$28)</f>
        <v>2000</v>
      </c>
      <c r="F117" s="10">
        <f t="shared" si="1"/>
        <v>0</v>
      </c>
      <c r="G117" s="7" t="str">
        <f>IF(A117="","",IF(D117=0,"",'Case calculations'!V43))</f>
        <v/>
      </c>
      <c r="H117" s="1" t="str">
        <f>IF(A117="","",IF(D117=0,"NO PATH",IF(G117&lt;Assumptions!$B$5,"BEFORE AS-OF",IF(G117&gt;=Assumptions!$B$7,"BEYOND HORIZON","IN HORIZON"))))</f>
        <v>NO PATH</v>
      </c>
    </row>
    <row r="118" spans="1:8" ht="22" customHeight="1">
      <c r="A118" s="1" t="str">
        <f>IF('Case calculations'!C43&lt;&gt;"OK","",'Case calculations'!A43)</f>
        <v>R-013</v>
      </c>
      <c r="B118" s="1" t="str">
        <f>IF(A118="","",'Case calculations'!B43)</f>
        <v>RECON</v>
      </c>
      <c r="C118" s="1" t="str">
        <f>IF(A118="","","RECON")</f>
        <v>RECON</v>
      </c>
      <c r="D118" s="19">
        <f>IF(A118="","",'Case calculations'!O43)</f>
        <v>0.2</v>
      </c>
      <c r="E118" s="10">
        <f>IF(A118="","",Assumptions!$B$29)</f>
        <v>3000</v>
      </c>
      <c r="F118" s="10">
        <f t="shared" si="1"/>
        <v>600</v>
      </c>
      <c r="G118" s="7">
        <f>IF(A118="","",IF(D118=0,"",'Case calculations'!W43))</f>
        <v>46417</v>
      </c>
      <c r="H118" s="1" t="str">
        <f>IF(A118="","",IF(D118=0,"NO PATH",IF(G118&lt;Assumptions!$B$5,"BEFORE AS-OF",IF(G118&gt;=Assumptions!$B$7,"BEYOND HORIZON","IN HORIZON"))))</f>
        <v>IN HORIZON</v>
      </c>
    </row>
    <row r="119" spans="1:8" ht="22" customHeight="1">
      <c r="A119" s="1" t="str">
        <f>IF('Case calculations'!C43&lt;&gt;"OK","",'Case calculations'!A43)</f>
        <v>R-013</v>
      </c>
      <c r="B119" s="1" t="str">
        <f>IF(A119="","",'Case calculations'!B43)</f>
        <v>RECON</v>
      </c>
      <c r="C119" s="1" t="str">
        <f>IF(A119="","","HEARING")</f>
        <v>HEARING</v>
      </c>
      <c r="D119" s="19">
        <f>IF(A119="","",'Case calculations'!S43)</f>
        <v>0.39600000000000007</v>
      </c>
      <c r="E119" s="10">
        <f>IF(A119="","",Assumptions!$B$30)</f>
        <v>4500</v>
      </c>
      <c r="F119" s="10">
        <f t="shared" si="1"/>
        <v>1782.0000000000002</v>
      </c>
      <c r="G119" s="7">
        <f>IF(A119="","",IF(D119=0,"",'Case calculations'!X43))</f>
        <v>46751</v>
      </c>
      <c r="H119" s="1" t="str">
        <f>IF(A119="","",IF(D119=0,"NO PATH",IF(G119&lt;Assumptions!$B$5,"BEFORE AS-OF",IF(G119&gt;=Assumptions!$B$7,"BEYOND HORIZON","IN HORIZON"))))</f>
        <v>IN HORIZON</v>
      </c>
    </row>
    <row r="120" spans="1:8" ht="22" customHeight="1">
      <c r="A120" s="1" t="str">
        <f>IF('Case calculations'!C44&lt;&gt;"OK","",'Case calculations'!A44)</f>
        <v>R-014</v>
      </c>
      <c r="B120" s="1" t="str">
        <f>IF(A120="","",'Case calculations'!B44)</f>
        <v>RECON</v>
      </c>
      <c r="C120" s="1" t="str">
        <f>IF(A120="","","INITIAL")</f>
        <v>INITIAL</v>
      </c>
      <c r="D120" s="19">
        <f>IF(A120="","",'Case calculations'!N44)</f>
        <v>0</v>
      </c>
      <c r="E120" s="10">
        <f>IF(A120="","",Assumptions!$B$28)</f>
        <v>2000</v>
      </c>
      <c r="F120" s="10">
        <f t="shared" si="1"/>
        <v>0</v>
      </c>
      <c r="G120" s="7" t="str">
        <f>IF(A120="","",IF(D120=0,"",'Case calculations'!V44))</f>
        <v/>
      </c>
      <c r="H120" s="1" t="str">
        <f>IF(A120="","",IF(D120=0,"NO PATH",IF(G120&lt;Assumptions!$B$5,"BEFORE AS-OF",IF(G120&gt;=Assumptions!$B$7,"BEYOND HORIZON","IN HORIZON"))))</f>
        <v>NO PATH</v>
      </c>
    </row>
    <row r="121" spans="1:8" ht="22" customHeight="1">
      <c r="A121" s="1" t="str">
        <f>IF('Case calculations'!C44&lt;&gt;"OK","",'Case calculations'!A44)</f>
        <v>R-014</v>
      </c>
      <c r="B121" s="1" t="str">
        <f>IF(A121="","",'Case calculations'!B44)</f>
        <v>RECON</v>
      </c>
      <c r="C121" s="1" t="str">
        <f>IF(A121="","","RECON")</f>
        <v>RECON</v>
      </c>
      <c r="D121" s="19">
        <f>IF(A121="","",'Case calculations'!O44)</f>
        <v>0.2</v>
      </c>
      <c r="E121" s="10">
        <f>IF(A121="","",Assumptions!$B$29)</f>
        <v>3000</v>
      </c>
      <c r="F121" s="10">
        <f t="shared" si="1"/>
        <v>600</v>
      </c>
      <c r="G121" s="7">
        <f>IF(A121="","",IF(D121=0,"",'Case calculations'!W44))</f>
        <v>46417</v>
      </c>
      <c r="H121" s="1" t="str">
        <f>IF(A121="","",IF(D121=0,"NO PATH",IF(G121&lt;Assumptions!$B$5,"BEFORE AS-OF",IF(G121&gt;=Assumptions!$B$7,"BEYOND HORIZON","IN HORIZON"))))</f>
        <v>IN HORIZON</v>
      </c>
    </row>
    <row r="122" spans="1:8" ht="22" customHeight="1">
      <c r="A122" s="1" t="str">
        <f>IF('Case calculations'!C44&lt;&gt;"OK","",'Case calculations'!A44)</f>
        <v>R-014</v>
      </c>
      <c r="B122" s="1" t="str">
        <f>IF(A122="","",'Case calculations'!B44)</f>
        <v>RECON</v>
      </c>
      <c r="C122" s="1" t="str">
        <f>IF(A122="","","HEARING")</f>
        <v>HEARING</v>
      </c>
      <c r="D122" s="19">
        <f>IF(A122="","",'Case calculations'!S44)</f>
        <v>0.39600000000000007</v>
      </c>
      <c r="E122" s="10">
        <f>IF(A122="","",Assumptions!$B$30)</f>
        <v>4500</v>
      </c>
      <c r="F122" s="10">
        <f t="shared" si="1"/>
        <v>1782.0000000000002</v>
      </c>
      <c r="G122" s="7">
        <f>IF(A122="","",IF(D122=0,"",'Case calculations'!X44))</f>
        <v>46751</v>
      </c>
      <c r="H122" s="1" t="str">
        <f>IF(A122="","",IF(D122=0,"NO PATH",IF(G122&lt;Assumptions!$B$5,"BEFORE AS-OF",IF(G122&gt;=Assumptions!$B$7,"BEYOND HORIZON","IN HORIZON"))))</f>
        <v>IN HORIZON</v>
      </c>
    </row>
    <row r="123" spans="1:8" ht="22" customHeight="1">
      <c r="A123" s="1" t="str">
        <f>IF('Case calculations'!C45&lt;&gt;"OK","",'Case calculations'!A45)</f>
        <v>R-015</v>
      </c>
      <c r="B123" s="1" t="str">
        <f>IF(A123="","",'Case calculations'!B45)</f>
        <v>RECON</v>
      </c>
      <c r="C123" s="1" t="str">
        <f>IF(A123="","","INITIAL")</f>
        <v>INITIAL</v>
      </c>
      <c r="D123" s="19">
        <f>IF(A123="","",'Case calculations'!N45)</f>
        <v>0</v>
      </c>
      <c r="E123" s="10">
        <f>IF(A123="","",Assumptions!$B$28)</f>
        <v>2000</v>
      </c>
      <c r="F123" s="10">
        <f t="shared" si="1"/>
        <v>0</v>
      </c>
      <c r="G123" s="7" t="str">
        <f>IF(A123="","",IF(D123=0,"",'Case calculations'!V45))</f>
        <v/>
      </c>
      <c r="H123" s="1" t="str">
        <f>IF(A123="","",IF(D123=0,"NO PATH",IF(G123&lt;Assumptions!$B$5,"BEFORE AS-OF",IF(G123&gt;=Assumptions!$B$7,"BEYOND HORIZON","IN HORIZON"))))</f>
        <v>NO PATH</v>
      </c>
    </row>
    <row r="124" spans="1:8" ht="22" customHeight="1">
      <c r="A124" s="1" t="str">
        <f>IF('Case calculations'!C45&lt;&gt;"OK","",'Case calculations'!A45)</f>
        <v>R-015</v>
      </c>
      <c r="B124" s="1" t="str">
        <f>IF(A124="","",'Case calculations'!B45)</f>
        <v>RECON</v>
      </c>
      <c r="C124" s="1" t="str">
        <f>IF(A124="","","RECON")</f>
        <v>RECON</v>
      </c>
      <c r="D124" s="19">
        <f>IF(A124="","",'Case calculations'!O45)</f>
        <v>0.2</v>
      </c>
      <c r="E124" s="10">
        <f>IF(A124="","",Assumptions!$B$29)</f>
        <v>3000</v>
      </c>
      <c r="F124" s="10">
        <f t="shared" si="1"/>
        <v>600</v>
      </c>
      <c r="G124" s="7">
        <f>IF(A124="","",IF(D124=0,"",'Case calculations'!W45))</f>
        <v>46417</v>
      </c>
      <c r="H124" s="1" t="str">
        <f>IF(A124="","",IF(D124=0,"NO PATH",IF(G124&lt;Assumptions!$B$5,"BEFORE AS-OF",IF(G124&gt;=Assumptions!$B$7,"BEYOND HORIZON","IN HORIZON"))))</f>
        <v>IN HORIZON</v>
      </c>
    </row>
    <row r="125" spans="1:8" ht="22" customHeight="1">
      <c r="A125" s="1" t="str">
        <f>IF('Case calculations'!C45&lt;&gt;"OK","",'Case calculations'!A45)</f>
        <v>R-015</v>
      </c>
      <c r="B125" s="1" t="str">
        <f>IF(A125="","",'Case calculations'!B45)</f>
        <v>RECON</v>
      </c>
      <c r="C125" s="1" t="str">
        <f>IF(A125="","","HEARING")</f>
        <v>HEARING</v>
      </c>
      <c r="D125" s="19">
        <f>IF(A125="","",'Case calculations'!S45)</f>
        <v>0.39600000000000007</v>
      </c>
      <c r="E125" s="10">
        <f>IF(A125="","",Assumptions!$B$30)</f>
        <v>4500</v>
      </c>
      <c r="F125" s="10">
        <f t="shared" si="1"/>
        <v>1782.0000000000002</v>
      </c>
      <c r="G125" s="7">
        <f>IF(A125="","",IF(D125=0,"",'Case calculations'!X45))</f>
        <v>46751</v>
      </c>
      <c r="H125" s="1" t="str">
        <f>IF(A125="","",IF(D125=0,"NO PATH",IF(G125&lt;Assumptions!$B$5,"BEFORE AS-OF",IF(G125&gt;=Assumptions!$B$7,"BEYOND HORIZON","IN HORIZON"))))</f>
        <v>IN HORIZON</v>
      </c>
    </row>
    <row r="126" spans="1:8" ht="22" customHeight="1">
      <c r="A126" s="1" t="str">
        <f>IF('Case calculations'!C46&lt;&gt;"OK","",'Case calculations'!A46)</f>
        <v>R-016</v>
      </c>
      <c r="B126" s="1" t="str">
        <f>IF(A126="","",'Case calculations'!B46)</f>
        <v>RECON</v>
      </c>
      <c r="C126" s="1" t="str">
        <f>IF(A126="","","INITIAL")</f>
        <v>INITIAL</v>
      </c>
      <c r="D126" s="19">
        <f>IF(A126="","",'Case calculations'!N46)</f>
        <v>0</v>
      </c>
      <c r="E126" s="10">
        <f>IF(A126="","",Assumptions!$B$28)</f>
        <v>2000</v>
      </c>
      <c r="F126" s="10">
        <f t="shared" si="1"/>
        <v>0</v>
      </c>
      <c r="G126" s="7" t="str">
        <f>IF(A126="","",IF(D126=0,"",'Case calculations'!V46))</f>
        <v/>
      </c>
      <c r="H126" s="1" t="str">
        <f>IF(A126="","",IF(D126=0,"NO PATH",IF(G126&lt;Assumptions!$B$5,"BEFORE AS-OF",IF(G126&gt;=Assumptions!$B$7,"BEYOND HORIZON","IN HORIZON"))))</f>
        <v>NO PATH</v>
      </c>
    </row>
    <row r="127" spans="1:8" ht="22" customHeight="1">
      <c r="A127" s="1" t="str">
        <f>IF('Case calculations'!C46&lt;&gt;"OK","",'Case calculations'!A46)</f>
        <v>R-016</v>
      </c>
      <c r="B127" s="1" t="str">
        <f>IF(A127="","",'Case calculations'!B46)</f>
        <v>RECON</v>
      </c>
      <c r="C127" s="1" t="str">
        <f>IF(A127="","","RECON")</f>
        <v>RECON</v>
      </c>
      <c r="D127" s="19">
        <f>IF(A127="","",'Case calculations'!O46)</f>
        <v>0.2</v>
      </c>
      <c r="E127" s="10">
        <f>IF(A127="","",Assumptions!$B$29)</f>
        <v>3000</v>
      </c>
      <c r="F127" s="10">
        <f t="shared" si="1"/>
        <v>600</v>
      </c>
      <c r="G127" s="7">
        <f>IF(A127="","",IF(D127=0,"",'Case calculations'!W46))</f>
        <v>46417</v>
      </c>
      <c r="H127" s="1" t="str">
        <f>IF(A127="","",IF(D127=0,"NO PATH",IF(G127&lt;Assumptions!$B$5,"BEFORE AS-OF",IF(G127&gt;=Assumptions!$B$7,"BEYOND HORIZON","IN HORIZON"))))</f>
        <v>IN HORIZON</v>
      </c>
    </row>
    <row r="128" spans="1:8" ht="22" customHeight="1">
      <c r="A128" s="1" t="str">
        <f>IF('Case calculations'!C46&lt;&gt;"OK","",'Case calculations'!A46)</f>
        <v>R-016</v>
      </c>
      <c r="B128" s="1" t="str">
        <f>IF(A128="","",'Case calculations'!B46)</f>
        <v>RECON</v>
      </c>
      <c r="C128" s="1" t="str">
        <f>IF(A128="","","HEARING")</f>
        <v>HEARING</v>
      </c>
      <c r="D128" s="19">
        <f>IF(A128="","",'Case calculations'!S46)</f>
        <v>0.39600000000000007</v>
      </c>
      <c r="E128" s="10">
        <f>IF(A128="","",Assumptions!$B$30)</f>
        <v>4500</v>
      </c>
      <c r="F128" s="10">
        <f t="shared" si="1"/>
        <v>1782.0000000000002</v>
      </c>
      <c r="G128" s="7">
        <f>IF(A128="","",IF(D128=0,"",'Case calculations'!X46))</f>
        <v>46751</v>
      </c>
      <c r="H128" s="1" t="str">
        <f>IF(A128="","",IF(D128=0,"NO PATH",IF(G128&lt;Assumptions!$B$5,"BEFORE AS-OF",IF(G128&gt;=Assumptions!$B$7,"BEYOND HORIZON","IN HORIZON"))))</f>
        <v>IN HORIZON</v>
      </c>
    </row>
    <row r="129" spans="1:8" ht="22" customHeight="1">
      <c r="A129" s="1" t="str">
        <f>IF('Case calculations'!C47&lt;&gt;"OK","",'Case calculations'!A47)</f>
        <v>R-017</v>
      </c>
      <c r="B129" s="1" t="str">
        <f>IF(A129="","",'Case calculations'!B47)</f>
        <v>RECON</v>
      </c>
      <c r="C129" s="1" t="str">
        <f>IF(A129="","","INITIAL")</f>
        <v>INITIAL</v>
      </c>
      <c r="D129" s="19">
        <f>IF(A129="","",'Case calculations'!N47)</f>
        <v>0</v>
      </c>
      <c r="E129" s="10">
        <f>IF(A129="","",Assumptions!$B$28)</f>
        <v>2000</v>
      </c>
      <c r="F129" s="10">
        <f t="shared" si="1"/>
        <v>0</v>
      </c>
      <c r="G129" s="7" t="str">
        <f>IF(A129="","",IF(D129=0,"",'Case calculations'!V47))</f>
        <v/>
      </c>
      <c r="H129" s="1" t="str">
        <f>IF(A129="","",IF(D129=0,"NO PATH",IF(G129&lt;Assumptions!$B$5,"BEFORE AS-OF",IF(G129&gt;=Assumptions!$B$7,"BEYOND HORIZON","IN HORIZON"))))</f>
        <v>NO PATH</v>
      </c>
    </row>
    <row r="130" spans="1:8" ht="22" customHeight="1">
      <c r="A130" s="1" t="str">
        <f>IF('Case calculations'!C47&lt;&gt;"OK","",'Case calculations'!A47)</f>
        <v>R-017</v>
      </c>
      <c r="B130" s="1" t="str">
        <f>IF(A130="","",'Case calculations'!B47)</f>
        <v>RECON</v>
      </c>
      <c r="C130" s="1" t="str">
        <f>IF(A130="","","RECON")</f>
        <v>RECON</v>
      </c>
      <c r="D130" s="19">
        <f>IF(A130="","",'Case calculations'!O47)</f>
        <v>0.2</v>
      </c>
      <c r="E130" s="10">
        <f>IF(A130="","",Assumptions!$B$29)</f>
        <v>3000</v>
      </c>
      <c r="F130" s="10">
        <f t="shared" si="1"/>
        <v>600</v>
      </c>
      <c r="G130" s="7">
        <f>IF(A130="","",IF(D130=0,"",'Case calculations'!W47))</f>
        <v>46417</v>
      </c>
      <c r="H130" s="1" t="str">
        <f>IF(A130="","",IF(D130=0,"NO PATH",IF(G130&lt;Assumptions!$B$5,"BEFORE AS-OF",IF(G130&gt;=Assumptions!$B$7,"BEYOND HORIZON","IN HORIZON"))))</f>
        <v>IN HORIZON</v>
      </c>
    </row>
    <row r="131" spans="1:8" ht="22" customHeight="1">
      <c r="A131" s="1" t="str">
        <f>IF('Case calculations'!C47&lt;&gt;"OK","",'Case calculations'!A47)</f>
        <v>R-017</v>
      </c>
      <c r="B131" s="1" t="str">
        <f>IF(A131="","",'Case calculations'!B47)</f>
        <v>RECON</v>
      </c>
      <c r="C131" s="1" t="str">
        <f>IF(A131="","","HEARING")</f>
        <v>HEARING</v>
      </c>
      <c r="D131" s="19">
        <f>IF(A131="","",'Case calculations'!S47)</f>
        <v>0.39600000000000007</v>
      </c>
      <c r="E131" s="10">
        <f>IF(A131="","",Assumptions!$B$30)</f>
        <v>4500</v>
      </c>
      <c r="F131" s="10">
        <f t="shared" si="1"/>
        <v>1782.0000000000002</v>
      </c>
      <c r="G131" s="7">
        <f>IF(A131="","",IF(D131=0,"",'Case calculations'!X47))</f>
        <v>46751</v>
      </c>
      <c r="H131" s="1" t="str">
        <f>IF(A131="","",IF(D131=0,"NO PATH",IF(G131&lt;Assumptions!$B$5,"BEFORE AS-OF",IF(G131&gt;=Assumptions!$B$7,"BEYOND HORIZON","IN HORIZON"))))</f>
        <v>IN HORIZON</v>
      </c>
    </row>
    <row r="132" spans="1:8" ht="22" customHeight="1">
      <c r="A132" s="1" t="str">
        <f>IF('Case calculations'!C48&lt;&gt;"OK","",'Case calculations'!A48)</f>
        <v>R-018</v>
      </c>
      <c r="B132" s="1" t="str">
        <f>IF(A132="","",'Case calculations'!B48)</f>
        <v>RECON</v>
      </c>
      <c r="C132" s="1" t="str">
        <f>IF(A132="","","INITIAL")</f>
        <v>INITIAL</v>
      </c>
      <c r="D132" s="19">
        <f>IF(A132="","",'Case calculations'!N48)</f>
        <v>0</v>
      </c>
      <c r="E132" s="10">
        <f>IF(A132="","",Assumptions!$B$28)</f>
        <v>2000</v>
      </c>
      <c r="F132" s="10">
        <f t="shared" si="1"/>
        <v>0</v>
      </c>
      <c r="G132" s="7" t="str">
        <f>IF(A132="","",IF(D132=0,"",'Case calculations'!V48))</f>
        <v/>
      </c>
      <c r="H132" s="1" t="str">
        <f>IF(A132="","",IF(D132=0,"NO PATH",IF(G132&lt;Assumptions!$B$5,"BEFORE AS-OF",IF(G132&gt;=Assumptions!$B$7,"BEYOND HORIZON","IN HORIZON"))))</f>
        <v>NO PATH</v>
      </c>
    </row>
    <row r="133" spans="1:8" ht="22" customHeight="1">
      <c r="A133" s="1" t="str">
        <f>IF('Case calculations'!C48&lt;&gt;"OK","",'Case calculations'!A48)</f>
        <v>R-018</v>
      </c>
      <c r="B133" s="1" t="str">
        <f>IF(A133="","",'Case calculations'!B48)</f>
        <v>RECON</v>
      </c>
      <c r="C133" s="1" t="str">
        <f>IF(A133="","","RECON")</f>
        <v>RECON</v>
      </c>
      <c r="D133" s="19">
        <f>IF(A133="","",'Case calculations'!O48)</f>
        <v>0.2</v>
      </c>
      <c r="E133" s="10">
        <f>IF(A133="","",Assumptions!$B$29)</f>
        <v>3000</v>
      </c>
      <c r="F133" s="10">
        <f t="shared" si="1"/>
        <v>600</v>
      </c>
      <c r="G133" s="7">
        <f>IF(A133="","",IF(D133=0,"",'Case calculations'!W48))</f>
        <v>46417</v>
      </c>
      <c r="H133" s="1" t="str">
        <f>IF(A133="","",IF(D133=0,"NO PATH",IF(G133&lt;Assumptions!$B$5,"BEFORE AS-OF",IF(G133&gt;=Assumptions!$B$7,"BEYOND HORIZON","IN HORIZON"))))</f>
        <v>IN HORIZON</v>
      </c>
    </row>
    <row r="134" spans="1:8" ht="22" customHeight="1">
      <c r="A134" s="1" t="str">
        <f>IF('Case calculations'!C48&lt;&gt;"OK","",'Case calculations'!A48)</f>
        <v>R-018</v>
      </c>
      <c r="B134" s="1" t="str">
        <f>IF(A134="","",'Case calculations'!B48)</f>
        <v>RECON</v>
      </c>
      <c r="C134" s="1" t="str">
        <f>IF(A134="","","HEARING")</f>
        <v>HEARING</v>
      </c>
      <c r="D134" s="19">
        <f>IF(A134="","",'Case calculations'!S48)</f>
        <v>0.39600000000000007</v>
      </c>
      <c r="E134" s="10">
        <f>IF(A134="","",Assumptions!$B$30)</f>
        <v>4500</v>
      </c>
      <c r="F134" s="10">
        <f t="shared" ref="F134:F197" si="2">IF(A134="","",D134*E134)</f>
        <v>1782.0000000000002</v>
      </c>
      <c r="G134" s="7">
        <f>IF(A134="","",IF(D134=0,"",'Case calculations'!X48))</f>
        <v>46751</v>
      </c>
      <c r="H134" s="1" t="str">
        <f>IF(A134="","",IF(D134=0,"NO PATH",IF(G134&lt;Assumptions!$B$5,"BEFORE AS-OF",IF(G134&gt;=Assumptions!$B$7,"BEYOND HORIZON","IN HORIZON"))))</f>
        <v>IN HORIZON</v>
      </c>
    </row>
    <row r="135" spans="1:8" ht="22" customHeight="1">
      <c r="A135" s="1" t="str">
        <f>IF('Case calculations'!C49&lt;&gt;"OK","",'Case calculations'!A49)</f>
        <v>R-019</v>
      </c>
      <c r="B135" s="1" t="str">
        <f>IF(A135="","",'Case calculations'!B49)</f>
        <v>RECON</v>
      </c>
      <c r="C135" s="1" t="str">
        <f>IF(A135="","","INITIAL")</f>
        <v>INITIAL</v>
      </c>
      <c r="D135" s="19">
        <f>IF(A135="","",'Case calculations'!N49)</f>
        <v>0</v>
      </c>
      <c r="E135" s="10">
        <f>IF(A135="","",Assumptions!$B$28)</f>
        <v>2000</v>
      </c>
      <c r="F135" s="10">
        <f t="shared" si="2"/>
        <v>0</v>
      </c>
      <c r="G135" s="7" t="str">
        <f>IF(A135="","",IF(D135=0,"",'Case calculations'!V49))</f>
        <v/>
      </c>
      <c r="H135" s="1" t="str">
        <f>IF(A135="","",IF(D135=0,"NO PATH",IF(G135&lt;Assumptions!$B$5,"BEFORE AS-OF",IF(G135&gt;=Assumptions!$B$7,"BEYOND HORIZON","IN HORIZON"))))</f>
        <v>NO PATH</v>
      </c>
    </row>
    <row r="136" spans="1:8" ht="22" customHeight="1">
      <c r="A136" s="1" t="str">
        <f>IF('Case calculations'!C49&lt;&gt;"OK","",'Case calculations'!A49)</f>
        <v>R-019</v>
      </c>
      <c r="B136" s="1" t="str">
        <f>IF(A136="","",'Case calculations'!B49)</f>
        <v>RECON</v>
      </c>
      <c r="C136" s="1" t="str">
        <f>IF(A136="","","RECON")</f>
        <v>RECON</v>
      </c>
      <c r="D136" s="19">
        <f>IF(A136="","",'Case calculations'!O49)</f>
        <v>0.2</v>
      </c>
      <c r="E136" s="10">
        <f>IF(A136="","",Assumptions!$B$29)</f>
        <v>3000</v>
      </c>
      <c r="F136" s="10">
        <f t="shared" si="2"/>
        <v>600</v>
      </c>
      <c r="G136" s="7">
        <f>IF(A136="","",IF(D136=0,"",'Case calculations'!W49))</f>
        <v>46417</v>
      </c>
      <c r="H136" s="1" t="str">
        <f>IF(A136="","",IF(D136=0,"NO PATH",IF(G136&lt;Assumptions!$B$5,"BEFORE AS-OF",IF(G136&gt;=Assumptions!$B$7,"BEYOND HORIZON","IN HORIZON"))))</f>
        <v>IN HORIZON</v>
      </c>
    </row>
    <row r="137" spans="1:8" ht="22" customHeight="1">
      <c r="A137" s="1" t="str">
        <f>IF('Case calculations'!C49&lt;&gt;"OK","",'Case calculations'!A49)</f>
        <v>R-019</v>
      </c>
      <c r="B137" s="1" t="str">
        <f>IF(A137="","",'Case calculations'!B49)</f>
        <v>RECON</v>
      </c>
      <c r="C137" s="1" t="str">
        <f>IF(A137="","","HEARING")</f>
        <v>HEARING</v>
      </c>
      <c r="D137" s="19">
        <f>IF(A137="","",'Case calculations'!S49)</f>
        <v>0.39600000000000007</v>
      </c>
      <c r="E137" s="10">
        <f>IF(A137="","",Assumptions!$B$30)</f>
        <v>4500</v>
      </c>
      <c r="F137" s="10">
        <f t="shared" si="2"/>
        <v>1782.0000000000002</v>
      </c>
      <c r="G137" s="7">
        <f>IF(A137="","",IF(D137=0,"",'Case calculations'!X49))</f>
        <v>46751</v>
      </c>
      <c r="H137" s="1" t="str">
        <f>IF(A137="","",IF(D137=0,"NO PATH",IF(G137&lt;Assumptions!$B$5,"BEFORE AS-OF",IF(G137&gt;=Assumptions!$B$7,"BEYOND HORIZON","IN HORIZON"))))</f>
        <v>IN HORIZON</v>
      </c>
    </row>
    <row r="138" spans="1:8" ht="22" customHeight="1">
      <c r="A138" s="1" t="str">
        <f>IF('Case calculations'!C50&lt;&gt;"OK","",'Case calculations'!A50)</f>
        <v>R-020</v>
      </c>
      <c r="B138" s="1" t="str">
        <f>IF(A138="","",'Case calculations'!B50)</f>
        <v>RECON</v>
      </c>
      <c r="C138" s="1" t="str">
        <f>IF(A138="","","INITIAL")</f>
        <v>INITIAL</v>
      </c>
      <c r="D138" s="19">
        <f>IF(A138="","",'Case calculations'!N50)</f>
        <v>0</v>
      </c>
      <c r="E138" s="10">
        <f>IF(A138="","",Assumptions!$B$28)</f>
        <v>2000</v>
      </c>
      <c r="F138" s="10">
        <f t="shared" si="2"/>
        <v>0</v>
      </c>
      <c r="G138" s="7" t="str">
        <f>IF(A138="","",IF(D138=0,"",'Case calculations'!V50))</f>
        <v/>
      </c>
      <c r="H138" s="1" t="str">
        <f>IF(A138="","",IF(D138=0,"NO PATH",IF(G138&lt;Assumptions!$B$5,"BEFORE AS-OF",IF(G138&gt;=Assumptions!$B$7,"BEYOND HORIZON","IN HORIZON"))))</f>
        <v>NO PATH</v>
      </c>
    </row>
    <row r="139" spans="1:8" ht="22" customHeight="1">
      <c r="A139" s="1" t="str">
        <f>IF('Case calculations'!C50&lt;&gt;"OK","",'Case calculations'!A50)</f>
        <v>R-020</v>
      </c>
      <c r="B139" s="1" t="str">
        <f>IF(A139="","",'Case calculations'!B50)</f>
        <v>RECON</v>
      </c>
      <c r="C139" s="1" t="str">
        <f>IF(A139="","","RECON")</f>
        <v>RECON</v>
      </c>
      <c r="D139" s="19">
        <f>IF(A139="","",'Case calculations'!O50)</f>
        <v>0.2</v>
      </c>
      <c r="E139" s="10">
        <f>IF(A139="","",Assumptions!$B$29)</f>
        <v>3000</v>
      </c>
      <c r="F139" s="10">
        <f t="shared" si="2"/>
        <v>600</v>
      </c>
      <c r="G139" s="7">
        <f>IF(A139="","",IF(D139=0,"",'Case calculations'!W50))</f>
        <v>46417</v>
      </c>
      <c r="H139" s="1" t="str">
        <f>IF(A139="","",IF(D139=0,"NO PATH",IF(G139&lt;Assumptions!$B$5,"BEFORE AS-OF",IF(G139&gt;=Assumptions!$B$7,"BEYOND HORIZON","IN HORIZON"))))</f>
        <v>IN HORIZON</v>
      </c>
    </row>
    <row r="140" spans="1:8" ht="22" customHeight="1">
      <c r="A140" s="1" t="str">
        <f>IF('Case calculations'!C50&lt;&gt;"OK","",'Case calculations'!A50)</f>
        <v>R-020</v>
      </c>
      <c r="B140" s="1" t="str">
        <f>IF(A140="","",'Case calculations'!B50)</f>
        <v>RECON</v>
      </c>
      <c r="C140" s="1" t="str">
        <f>IF(A140="","","HEARING")</f>
        <v>HEARING</v>
      </c>
      <c r="D140" s="19">
        <f>IF(A140="","",'Case calculations'!S50)</f>
        <v>0.39600000000000007</v>
      </c>
      <c r="E140" s="10">
        <f>IF(A140="","",Assumptions!$B$30)</f>
        <v>4500</v>
      </c>
      <c r="F140" s="10">
        <f t="shared" si="2"/>
        <v>1782.0000000000002</v>
      </c>
      <c r="G140" s="7">
        <f>IF(A140="","",IF(D140=0,"",'Case calculations'!X50))</f>
        <v>46751</v>
      </c>
      <c r="H140" s="1" t="str">
        <f>IF(A140="","",IF(D140=0,"NO PATH",IF(G140&lt;Assumptions!$B$5,"BEFORE AS-OF",IF(G140&gt;=Assumptions!$B$7,"BEYOND HORIZON","IN HORIZON"))))</f>
        <v>IN HORIZON</v>
      </c>
    </row>
    <row r="141" spans="1:8" ht="22" customHeight="1">
      <c r="A141" s="1" t="str">
        <f>IF('Case calculations'!C51&lt;&gt;"OK","",'Case calculations'!A51)</f>
        <v>R-021</v>
      </c>
      <c r="B141" s="1" t="str">
        <f>IF(A141="","",'Case calculations'!B51)</f>
        <v>RECON</v>
      </c>
      <c r="C141" s="1" t="str">
        <f>IF(A141="","","INITIAL")</f>
        <v>INITIAL</v>
      </c>
      <c r="D141" s="19">
        <f>IF(A141="","",'Case calculations'!N51)</f>
        <v>0</v>
      </c>
      <c r="E141" s="10">
        <f>IF(A141="","",Assumptions!$B$28)</f>
        <v>2000</v>
      </c>
      <c r="F141" s="10">
        <f t="shared" si="2"/>
        <v>0</v>
      </c>
      <c r="G141" s="7" t="str">
        <f>IF(A141="","",IF(D141=0,"",'Case calculations'!V51))</f>
        <v/>
      </c>
      <c r="H141" s="1" t="str">
        <f>IF(A141="","",IF(D141=0,"NO PATH",IF(G141&lt;Assumptions!$B$5,"BEFORE AS-OF",IF(G141&gt;=Assumptions!$B$7,"BEYOND HORIZON","IN HORIZON"))))</f>
        <v>NO PATH</v>
      </c>
    </row>
    <row r="142" spans="1:8" ht="22" customHeight="1">
      <c r="A142" s="1" t="str">
        <f>IF('Case calculations'!C51&lt;&gt;"OK","",'Case calculations'!A51)</f>
        <v>R-021</v>
      </c>
      <c r="B142" s="1" t="str">
        <f>IF(A142="","",'Case calculations'!B51)</f>
        <v>RECON</v>
      </c>
      <c r="C142" s="1" t="str">
        <f>IF(A142="","","RECON")</f>
        <v>RECON</v>
      </c>
      <c r="D142" s="19">
        <f>IF(A142="","",'Case calculations'!O51)</f>
        <v>0.2</v>
      </c>
      <c r="E142" s="10">
        <f>IF(A142="","",Assumptions!$B$29)</f>
        <v>3000</v>
      </c>
      <c r="F142" s="10">
        <f t="shared" si="2"/>
        <v>600</v>
      </c>
      <c r="G142" s="7">
        <f>IF(A142="","",IF(D142=0,"",'Case calculations'!W51))</f>
        <v>46446</v>
      </c>
      <c r="H142" s="1" t="str">
        <f>IF(A142="","",IF(D142=0,"NO PATH",IF(G142&lt;Assumptions!$B$5,"BEFORE AS-OF",IF(G142&gt;=Assumptions!$B$7,"BEYOND HORIZON","IN HORIZON"))))</f>
        <v>IN HORIZON</v>
      </c>
    </row>
    <row r="143" spans="1:8" ht="22" customHeight="1">
      <c r="A143" s="1" t="str">
        <f>IF('Case calculations'!C51&lt;&gt;"OK","",'Case calculations'!A51)</f>
        <v>R-021</v>
      </c>
      <c r="B143" s="1" t="str">
        <f>IF(A143="","",'Case calculations'!B51)</f>
        <v>RECON</v>
      </c>
      <c r="C143" s="1" t="str">
        <f>IF(A143="","","HEARING")</f>
        <v>HEARING</v>
      </c>
      <c r="D143" s="19">
        <f>IF(A143="","",'Case calculations'!S51)</f>
        <v>0.39600000000000007</v>
      </c>
      <c r="E143" s="10">
        <f>IF(A143="","",Assumptions!$B$30)</f>
        <v>4500</v>
      </c>
      <c r="F143" s="10">
        <f t="shared" si="2"/>
        <v>1782.0000000000002</v>
      </c>
      <c r="G143" s="7">
        <f>IF(A143="","",IF(D143=0,"",'Case calculations'!X51))</f>
        <v>46780</v>
      </c>
      <c r="H143" s="1" t="str">
        <f>IF(A143="","",IF(D143=0,"NO PATH",IF(G143&lt;Assumptions!$B$5,"BEFORE AS-OF",IF(G143&gt;=Assumptions!$B$7,"BEYOND HORIZON","IN HORIZON"))))</f>
        <v>IN HORIZON</v>
      </c>
    </row>
    <row r="144" spans="1:8" ht="22" customHeight="1">
      <c r="A144" s="1" t="str">
        <f>IF('Case calculations'!C52&lt;&gt;"OK","",'Case calculations'!A52)</f>
        <v>R-022</v>
      </c>
      <c r="B144" s="1" t="str">
        <f>IF(A144="","",'Case calculations'!B52)</f>
        <v>RECON</v>
      </c>
      <c r="C144" s="1" t="str">
        <f>IF(A144="","","INITIAL")</f>
        <v>INITIAL</v>
      </c>
      <c r="D144" s="19">
        <f>IF(A144="","",'Case calculations'!N52)</f>
        <v>0</v>
      </c>
      <c r="E144" s="10">
        <f>IF(A144="","",Assumptions!$B$28)</f>
        <v>2000</v>
      </c>
      <c r="F144" s="10">
        <f t="shared" si="2"/>
        <v>0</v>
      </c>
      <c r="G144" s="7" t="str">
        <f>IF(A144="","",IF(D144=0,"",'Case calculations'!V52))</f>
        <v/>
      </c>
      <c r="H144" s="1" t="str">
        <f>IF(A144="","",IF(D144=0,"NO PATH",IF(G144&lt;Assumptions!$B$5,"BEFORE AS-OF",IF(G144&gt;=Assumptions!$B$7,"BEYOND HORIZON","IN HORIZON"))))</f>
        <v>NO PATH</v>
      </c>
    </row>
    <row r="145" spans="1:8" ht="22" customHeight="1">
      <c r="A145" s="1" t="str">
        <f>IF('Case calculations'!C52&lt;&gt;"OK","",'Case calculations'!A52)</f>
        <v>R-022</v>
      </c>
      <c r="B145" s="1" t="str">
        <f>IF(A145="","",'Case calculations'!B52)</f>
        <v>RECON</v>
      </c>
      <c r="C145" s="1" t="str">
        <f>IF(A145="","","RECON")</f>
        <v>RECON</v>
      </c>
      <c r="D145" s="19">
        <f>IF(A145="","",'Case calculations'!O52)</f>
        <v>0.2</v>
      </c>
      <c r="E145" s="10">
        <f>IF(A145="","",Assumptions!$B$29)</f>
        <v>3000</v>
      </c>
      <c r="F145" s="10">
        <f t="shared" si="2"/>
        <v>600</v>
      </c>
      <c r="G145" s="7">
        <f>IF(A145="","",IF(D145=0,"",'Case calculations'!W52))</f>
        <v>46446</v>
      </c>
      <c r="H145" s="1" t="str">
        <f>IF(A145="","",IF(D145=0,"NO PATH",IF(G145&lt;Assumptions!$B$5,"BEFORE AS-OF",IF(G145&gt;=Assumptions!$B$7,"BEYOND HORIZON","IN HORIZON"))))</f>
        <v>IN HORIZON</v>
      </c>
    </row>
    <row r="146" spans="1:8" ht="22" customHeight="1">
      <c r="A146" s="1" t="str">
        <f>IF('Case calculations'!C52&lt;&gt;"OK","",'Case calculations'!A52)</f>
        <v>R-022</v>
      </c>
      <c r="B146" s="1" t="str">
        <f>IF(A146="","",'Case calculations'!B52)</f>
        <v>RECON</v>
      </c>
      <c r="C146" s="1" t="str">
        <f>IF(A146="","","HEARING")</f>
        <v>HEARING</v>
      </c>
      <c r="D146" s="19">
        <f>IF(A146="","",'Case calculations'!S52)</f>
        <v>0.39600000000000007</v>
      </c>
      <c r="E146" s="10">
        <f>IF(A146="","",Assumptions!$B$30)</f>
        <v>4500</v>
      </c>
      <c r="F146" s="10">
        <f t="shared" si="2"/>
        <v>1782.0000000000002</v>
      </c>
      <c r="G146" s="7">
        <f>IF(A146="","",IF(D146=0,"",'Case calculations'!X52))</f>
        <v>46780</v>
      </c>
      <c r="H146" s="1" t="str">
        <f>IF(A146="","",IF(D146=0,"NO PATH",IF(G146&lt;Assumptions!$B$5,"BEFORE AS-OF",IF(G146&gt;=Assumptions!$B$7,"BEYOND HORIZON","IN HORIZON"))))</f>
        <v>IN HORIZON</v>
      </c>
    </row>
    <row r="147" spans="1:8" ht="22" customHeight="1">
      <c r="A147" s="1" t="str">
        <f>IF('Case calculations'!C53&lt;&gt;"OK","",'Case calculations'!A53)</f>
        <v>R-023</v>
      </c>
      <c r="B147" s="1" t="str">
        <f>IF(A147="","",'Case calculations'!B53)</f>
        <v>RECON</v>
      </c>
      <c r="C147" s="1" t="str">
        <f>IF(A147="","","INITIAL")</f>
        <v>INITIAL</v>
      </c>
      <c r="D147" s="19">
        <f>IF(A147="","",'Case calculations'!N53)</f>
        <v>0</v>
      </c>
      <c r="E147" s="10">
        <f>IF(A147="","",Assumptions!$B$28)</f>
        <v>2000</v>
      </c>
      <c r="F147" s="10">
        <f t="shared" si="2"/>
        <v>0</v>
      </c>
      <c r="G147" s="7" t="str">
        <f>IF(A147="","",IF(D147=0,"",'Case calculations'!V53))</f>
        <v/>
      </c>
      <c r="H147" s="1" t="str">
        <f>IF(A147="","",IF(D147=0,"NO PATH",IF(G147&lt;Assumptions!$B$5,"BEFORE AS-OF",IF(G147&gt;=Assumptions!$B$7,"BEYOND HORIZON","IN HORIZON"))))</f>
        <v>NO PATH</v>
      </c>
    </row>
    <row r="148" spans="1:8" ht="22" customHeight="1">
      <c r="A148" s="1" t="str">
        <f>IF('Case calculations'!C53&lt;&gt;"OK","",'Case calculations'!A53)</f>
        <v>R-023</v>
      </c>
      <c r="B148" s="1" t="str">
        <f>IF(A148="","",'Case calculations'!B53)</f>
        <v>RECON</v>
      </c>
      <c r="C148" s="1" t="str">
        <f>IF(A148="","","RECON")</f>
        <v>RECON</v>
      </c>
      <c r="D148" s="19">
        <f>IF(A148="","",'Case calculations'!O53)</f>
        <v>0.2</v>
      </c>
      <c r="E148" s="10">
        <f>IF(A148="","",Assumptions!$B$29)</f>
        <v>3000</v>
      </c>
      <c r="F148" s="10">
        <f t="shared" si="2"/>
        <v>600</v>
      </c>
      <c r="G148" s="7">
        <f>IF(A148="","",IF(D148=0,"",'Case calculations'!W53))</f>
        <v>46446</v>
      </c>
      <c r="H148" s="1" t="str">
        <f>IF(A148="","",IF(D148=0,"NO PATH",IF(G148&lt;Assumptions!$B$5,"BEFORE AS-OF",IF(G148&gt;=Assumptions!$B$7,"BEYOND HORIZON","IN HORIZON"))))</f>
        <v>IN HORIZON</v>
      </c>
    </row>
    <row r="149" spans="1:8" ht="22" customHeight="1">
      <c r="A149" s="1" t="str">
        <f>IF('Case calculations'!C53&lt;&gt;"OK","",'Case calculations'!A53)</f>
        <v>R-023</v>
      </c>
      <c r="B149" s="1" t="str">
        <f>IF(A149="","",'Case calculations'!B53)</f>
        <v>RECON</v>
      </c>
      <c r="C149" s="1" t="str">
        <f>IF(A149="","","HEARING")</f>
        <v>HEARING</v>
      </c>
      <c r="D149" s="19">
        <f>IF(A149="","",'Case calculations'!S53)</f>
        <v>0.39600000000000007</v>
      </c>
      <c r="E149" s="10">
        <f>IF(A149="","",Assumptions!$B$30)</f>
        <v>4500</v>
      </c>
      <c r="F149" s="10">
        <f t="shared" si="2"/>
        <v>1782.0000000000002</v>
      </c>
      <c r="G149" s="7">
        <f>IF(A149="","",IF(D149=0,"",'Case calculations'!X53))</f>
        <v>46780</v>
      </c>
      <c r="H149" s="1" t="str">
        <f>IF(A149="","",IF(D149=0,"NO PATH",IF(G149&lt;Assumptions!$B$5,"BEFORE AS-OF",IF(G149&gt;=Assumptions!$B$7,"BEYOND HORIZON","IN HORIZON"))))</f>
        <v>IN HORIZON</v>
      </c>
    </row>
    <row r="150" spans="1:8" ht="22" customHeight="1">
      <c r="A150" s="1" t="str">
        <f>IF('Case calculations'!C54&lt;&gt;"OK","",'Case calculations'!A54)</f>
        <v>R-024</v>
      </c>
      <c r="B150" s="1" t="str">
        <f>IF(A150="","",'Case calculations'!B54)</f>
        <v>RECON</v>
      </c>
      <c r="C150" s="1" t="str">
        <f>IF(A150="","","INITIAL")</f>
        <v>INITIAL</v>
      </c>
      <c r="D150" s="19">
        <f>IF(A150="","",'Case calculations'!N54)</f>
        <v>0</v>
      </c>
      <c r="E150" s="10">
        <f>IF(A150="","",Assumptions!$B$28)</f>
        <v>2000</v>
      </c>
      <c r="F150" s="10">
        <f t="shared" si="2"/>
        <v>0</v>
      </c>
      <c r="G150" s="7" t="str">
        <f>IF(A150="","",IF(D150=0,"",'Case calculations'!V54))</f>
        <v/>
      </c>
      <c r="H150" s="1" t="str">
        <f>IF(A150="","",IF(D150=0,"NO PATH",IF(G150&lt;Assumptions!$B$5,"BEFORE AS-OF",IF(G150&gt;=Assumptions!$B$7,"BEYOND HORIZON","IN HORIZON"))))</f>
        <v>NO PATH</v>
      </c>
    </row>
    <row r="151" spans="1:8" ht="22" customHeight="1">
      <c r="A151" s="1" t="str">
        <f>IF('Case calculations'!C54&lt;&gt;"OK","",'Case calculations'!A54)</f>
        <v>R-024</v>
      </c>
      <c r="B151" s="1" t="str">
        <f>IF(A151="","",'Case calculations'!B54)</f>
        <v>RECON</v>
      </c>
      <c r="C151" s="1" t="str">
        <f>IF(A151="","","RECON")</f>
        <v>RECON</v>
      </c>
      <c r="D151" s="19">
        <f>IF(A151="","",'Case calculations'!O54)</f>
        <v>0.2</v>
      </c>
      <c r="E151" s="10">
        <f>IF(A151="","",Assumptions!$B$29)</f>
        <v>3000</v>
      </c>
      <c r="F151" s="10">
        <f t="shared" si="2"/>
        <v>600</v>
      </c>
      <c r="G151" s="7">
        <f>IF(A151="","",IF(D151=0,"",'Case calculations'!W54))</f>
        <v>46446</v>
      </c>
      <c r="H151" s="1" t="str">
        <f>IF(A151="","",IF(D151=0,"NO PATH",IF(G151&lt;Assumptions!$B$5,"BEFORE AS-OF",IF(G151&gt;=Assumptions!$B$7,"BEYOND HORIZON","IN HORIZON"))))</f>
        <v>IN HORIZON</v>
      </c>
    </row>
    <row r="152" spans="1:8" ht="22" customHeight="1">
      <c r="A152" s="1" t="str">
        <f>IF('Case calculations'!C54&lt;&gt;"OK","",'Case calculations'!A54)</f>
        <v>R-024</v>
      </c>
      <c r="B152" s="1" t="str">
        <f>IF(A152="","",'Case calculations'!B54)</f>
        <v>RECON</v>
      </c>
      <c r="C152" s="1" t="str">
        <f>IF(A152="","","HEARING")</f>
        <v>HEARING</v>
      </c>
      <c r="D152" s="19">
        <f>IF(A152="","",'Case calculations'!S54)</f>
        <v>0.39600000000000007</v>
      </c>
      <c r="E152" s="10">
        <f>IF(A152="","",Assumptions!$B$30)</f>
        <v>4500</v>
      </c>
      <c r="F152" s="10">
        <f t="shared" si="2"/>
        <v>1782.0000000000002</v>
      </c>
      <c r="G152" s="7">
        <f>IF(A152="","",IF(D152=0,"",'Case calculations'!X54))</f>
        <v>46780</v>
      </c>
      <c r="H152" s="1" t="str">
        <f>IF(A152="","",IF(D152=0,"NO PATH",IF(G152&lt;Assumptions!$B$5,"BEFORE AS-OF",IF(G152&gt;=Assumptions!$B$7,"BEYOND HORIZON","IN HORIZON"))))</f>
        <v>IN HORIZON</v>
      </c>
    </row>
    <row r="153" spans="1:8" ht="22" customHeight="1">
      <c r="A153" s="1" t="str">
        <f>IF('Case calculations'!C55&lt;&gt;"OK","",'Case calculations'!A55)</f>
        <v>R-025</v>
      </c>
      <c r="B153" s="1" t="str">
        <f>IF(A153="","",'Case calculations'!B55)</f>
        <v>RECON</v>
      </c>
      <c r="C153" s="1" t="str">
        <f>IF(A153="","","INITIAL")</f>
        <v>INITIAL</v>
      </c>
      <c r="D153" s="19">
        <f>IF(A153="","",'Case calculations'!N55)</f>
        <v>0</v>
      </c>
      <c r="E153" s="10">
        <f>IF(A153="","",Assumptions!$B$28)</f>
        <v>2000</v>
      </c>
      <c r="F153" s="10">
        <f t="shared" si="2"/>
        <v>0</v>
      </c>
      <c r="G153" s="7" t="str">
        <f>IF(A153="","",IF(D153=0,"",'Case calculations'!V55))</f>
        <v/>
      </c>
      <c r="H153" s="1" t="str">
        <f>IF(A153="","",IF(D153=0,"NO PATH",IF(G153&lt;Assumptions!$B$5,"BEFORE AS-OF",IF(G153&gt;=Assumptions!$B$7,"BEYOND HORIZON","IN HORIZON"))))</f>
        <v>NO PATH</v>
      </c>
    </row>
    <row r="154" spans="1:8" ht="22" customHeight="1">
      <c r="A154" s="1" t="str">
        <f>IF('Case calculations'!C55&lt;&gt;"OK","",'Case calculations'!A55)</f>
        <v>R-025</v>
      </c>
      <c r="B154" s="1" t="str">
        <f>IF(A154="","",'Case calculations'!B55)</f>
        <v>RECON</v>
      </c>
      <c r="C154" s="1" t="str">
        <f>IF(A154="","","RECON")</f>
        <v>RECON</v>
      </c>
      <c r="D154" s="19">
        <f>IF(A154="","",'Case calculations'!O55)</f>
        <v>0.2</v>
      </c>
      <c r="E154" s="10">
        <f>IF(A154="","",Assumptions!$B$29)</f>
        <v>3000</v>
      </c>
      <c r="F154" s="10">
        <f t="shared" si="2"/>
        <v>600</v>
      </c>
      <c r="G154" s="7">
        <f>IF(A154="","",IF(D154=0,"",'Case calculations'!W55))</f>
        <v>46446</v>
      </c>
      <c r="H154" s="1" t="str">
        <f>IF(A154="","",IF(D154=0,"NO PATH",IF(G154&lt;Assumptions!$B$5,"BEFORE AS-OF",IF(G154&gt;=Assumptions!$B$7,"BEYOND HORIZON","IN HORIZON"))))</f>
        <v>IN HORIZON</v>
      </c>
    </row>
    <row r="155" spans="1:8" ht="22" customHeight="1">
      <c r="A155" s="1" t="str">
        <f>IF('Case calculations'!C55&lt;&gt;"OK","",'Case calculations'!A55)</f>
        <v>R-025</v>
      </c>
      <c r="B155" s="1" t="str">
        <f>IF(A155="","",'Case calculations'!B55)</f>
        <v>RECON</v>
      </c>
      <c r="C155" s="1" t="str">
        <f>IF(A155="","","HEARING")</f>
        <v>HEARING</v>
      </c>
      <c r="D155" s="19">
        <f>IF(A155="","",'Case calculations'!S55)</f>
        <v>0.39600000000000007</v>
      </c>
      <c r="E155" s="10">
        <f>IF(A155="","",Assumptions!$B$30)</f>
        <v>4500</v>
      </c>
      <c r="F155" s="10">
        <f t="shared" si="2"/>
        <v>1782.0000000000002</v>
      </c>
      <c r="G155" s="7">
        <f>IF(A155="","",IF(D155=0,"",'Case calculations'!X55))</f>
        <v>46780</v>
      </c>
      <c r="H155" s="1" t="str">
        <f>IF(A155="","",IF(D155=0,"NO PATH",IF(G155&lt;Assumptions!$B$5,"BEFORE AS-OF",IF(G155&gt;=Assumptions!$B$7,"BEYOND HORIZON","IN HORIZON"))))</f>
        <v>IN HORIZON</v>
      </c>
    </row>
    <row r="156" spans="1:8" ht="22" customHeight="1">
      <c r="A156" s="1" t="str">
        <f>IF('Case calculations'!C56&lt;&gt;"OK","",'Case calculations'!A56)</f>
        <v>A-001</v>
      </c>
      <c r="B156" s="1" t="str">
        <f>IF(A156="","",'Case calculations'!B56)</f>
        <v>HEARING</v>
      </c>
      <c r="C156" s="1" t="str">
        <f>IF(A156="","","INITIAL")</f>
        <v>INITIAL</v>
      </c>
      <c r="D156" s="19">
        <f>IF(A156="","",'Case calculations'!N56)</f>
        <v>0</v>
      </c>
      <c r="E156" s="10">
        <f>IF(A156="","",Assumptions!$B$28)</f>
        <v>2000</v>
      </c>
      <c r="F156" s="10">
        <f t="shared" si="2"/>
        <v>0</v>
      </c>
      <c r="G156" s="7" t="str">
        <f>IF(A156="","",IF(D156=0,"",'Case calculations'!V56))</f>
        <v/>
      </c>
      <c r="H156" s="1" t="str">
        <f>IF(A156="","",IF(D156=0,"NO PATH",IF(G156&lt;Assumptions!$B$5,"BEFORE AS-OF",IF(G156&gt;=Assumptions!$B$7,"BEYOND HORIZON","IN HORIZON"))))</f>
        <v>NO PATH</v>
      </c>
    </row>
    <row r="157" spans="1:8" ht="22" customHeight="1">
      <c r="A157" s="1" t="str">
        <f>IF('Case calculations'!C56&lt;&gt;"OK","",'Case calculations'!A56)</f>
        <v>A-001</v>
      </c>
      <c r="B157" s="1" t="str">
        <f>IF(A157="","",'Case calculations'!B56)</f>
        <v>HEARING</v>
      </c>
      <c r="C157" s="1" t="str">
        <f>IF(A157="","","RECON")</f>
        <v>RECON</v>
      </c>
      <c r="D157" s="19">
        <f>IF(A157="","",'Case calculations'!O56)</f>
        <v>0</v>
      </c>
      <c r="E157" s="10">
        <f>IF(A157="","",Assumptions!$B$29)</f>
        <v>3000</v>
      </c>
      <c r="F157" s="10">
        <f t="shared" si="2"/>
        <v>0</v>
      </c>
      <c r="G157" s="7" t="str">
        <f>IF(A157="","",IF(D157=0,"",'Case calculations'!W56))</f>
        <v/>
      </c>
      <c r="H157" s="1" t="str">
        <f>IF(A157="","",IF(D157=0,"NO PATH",IF(G157&lt;Assumptions!$B$5,"BEFORE AS-OF",IF(G157&gt;=Assumptions!$B$7,"BEYOND HORIZON","IN HORIZON"))))</f>
        <v>NO PATH</v>
      </c>
    </row>
    <row r="158" spans="1:8" ht="22" customHeight="1">
      <c r="A158" s="1" t="str">
        <f>IF('Case calculations'!C56&lt;&gt;"OK","",'Case calculations'!A56)</f>
        <v>A-001</v>
      </c>
      <c r="B158" s="1" t="str">
        <f>IF(A158="","",'Case calculations'!B56)</f>
        <v>HEARING</v>
      </c>
      <c r="C158" s="1" t="str">
        <f>IF(A158="","","HEARING")</f>
        <v>HEARING</v>
      </c>
      <c r="D158" s="19">
        <f>IF(A158="","",'Case calculations'!S56)</f>
        <v>0.55000000000000004</v>
      </c>
      <c r="E158" s="10">
        <f>IF(A158="","",Assumptions!$B$30)</f>
        <v>4500</v>
      </c>
      <c r="F158" s="10">
        <f t="shared" si="2"/>
        <v>2475</v>
      </c>
      <c r="G158" s="7">
        <f>IF(A158="","",IF(D158=0,"",'Case calculations'!X56))</f>
        <v>46447</v>
      </c>
      <c r="H158" s="1" t="str">
        <f>IF(A158="","",IF(D158=0,"NO PATH",IF(G158&lt;Assumptions!$B$5,"BEFORE AS-OF",IF(G158&gt;=Assumptions!$B$7,"BEYOND HORIZON","IN HORIZON"))))</f>
        <v>IN HORIZON</v>
      </c>
    </row>
    <row r="159" spans="1:8" ht="22" customHeight="1">
      <c r="A159" s="1" t="str">
        <f>IF('Case calculations'!C57&lt;&gt;"OK","",'Case calculations'!A57)</f>
        <v>A-002</v>
      </c>
      <c r="B159" s="1" t="str">
        <f>IF(A159="","",'Case calculations'!B57)</f>
        <v>HEARING</v>
      </c>
      <c r="C159" s="1" t="str">
        <f>IF(A159="","","INITIAL")</f>
        <v>INITIAL</v>
      </c>
      <c r="D159" s="19">
        <f>IF(A159="","",'Case calculations'!N57)</f>
        <v>0</v>
      </c>
      <c r="E159" s="10">
        <f>IF(A159="","",Assumptions!$B$28)</f>
        <v>2000</v>
      </c>
      <c r="F159" s="10">
        <f t="shared" si="2"/>
        <v>0</v>
      </c>
      <c r="G159" s="7" t="str">
        <f>IF(A159="","",IF(D159=0,"",'Case calculations'!V57))</f>
        <v/>
      </c>
      <c r="H159" s="1" t="str">
        <f>IF(A159="","",IF(D159=0,"NO PATH",IF(G159&lt;Assumptions!$B$5,"BEFORE AS-OF",IF(G159&gt;=Assumptions!$B$7,"BEYOND HORIZON","IN HORIZON"))))</f>
        <v>NO PATH</v>
      </c>
    </row>
    <row r="160" spans="1:8" ht="22" customHeight="1">
      <c r="A160" s="1" t="str">
        <f>IF('Case calculations'!C57&lt;&gt;"OK","",'Case calculations'!A57)</f>
        <v>A-002</v>
      </c>
      <c r="B160" s="1" t="str">
        <f>IF(A160="","",'Case calculations'!B57)</f>
        <v>HEARING</v>
      </c>
      <c r="C160" s="1" t="str">
        <f>IF(A160="","","RECON")</f>
        <v>RECON</v>
      </c>
      <c r="D160" s="19">
        <f>IF(A160="","",'Case calculations'!O57)</f>
        <v>0</v>
      </c>
      <c r="E160" s="10">
        <f>IF(A160="","",Assumptions!$B$29)</f>
        <v>3000</v>
      </c>
      <c r="F160" s="10">
        <f t="shared" si="2"/>
        <v>0</v>
      </c>
      <c r="G160" s="7" t="str">
        <f>IF(A160="","",IF(D160=0,"",'Case calculations'!W57))</f>
        <v/>
      </c>
      <c r="H160" s="1" t="str">
        <f>IF(A160="","",IF(D160=0,"NO PATH",IF(G160&lt;Assumptions!$B$5,"BEFORE AS-OF",IF(G160&gt;=Assumptions!$B$7,"BEYOND HORIZON","IN HORIZON"))))</f>
        <v>NO PATH</v>
      </c>
    </row>
    <row r="161" spans="1:8" ht="22" customHeight="1">
      <c r="A161" s="1" t="str">
        <f>IF('Case calculations'!C57&lt;&gt;"OK","",'Case calculations'!A57)</f>
        <v>A-002</v>
      </c>
      <c r="B161" s="1" t="str">
        <f>IF(A161="","",'Case calculations'!B57)</f>
        <v>HEARING</v>
      </c>
      <c r="C161" s="1" t="str">
        <f>IF(A161="","","HEARING")</f>
        <v>HEARING</v>
      </c>
      <c r="D161" s="19">
        <f>IF(A161="","",'Case calculations'!S57)</f>
        <v>0.55000000000000004</v>
      </c>
      <c r="E161" s="10">
        <f>IF(A161="","",Assumptions!$B$30)</f>
        <v>4500</v>
      </c>
      <c r="F161" s="10">
        <f t="shared" si="2"/>
        <v>2475</v>
      </c>
      <c r="G161" s="7">
        <f>IF(A161="","",IF(D161=0,"",'Case calculations'!X57))</f>
        <v>46447</v>
      </c>
      <c r="H161" s="1" t="str">
        <f>IF(A161="","",IF(D161=0,"NO PATH",IF(G161&lt;Assumptions!$B$5,"BEFORE AS-OF",IF(G161&gt;=Assumptions!$B$7,"BEYOND HORIZON","IN HORIZON"))))</f>
        <v>IN HORIZON</v>
      </c>
    </row>
    <row r="162" spans="1:8" ht="22" customHeight="1">
      <c r="A162" s="1" t="str">
        <f>IF('Case calculations'!C58&lt;&gt;"OK","",'Case calculations'!A58)</f>
        <v>A-003</v>
      </c>
      <c r="B162" s="1" t="str">
        <f>IF(A162="","",'Case calculations'!B58)</f>
        <v>HEARING</v>
      </c>
      <c r="C162" s="1" t="str">
        <f>IF(A162="","","INITIAL")</f>
        <v>INITIAL</v>
      </c>
      <c r="D162" s="19">
        <f>IF(A162="","",'Case calculations'!N58)</f>
        <v>0</v>
      </c>
      <c r="E162" s="10">
        <f>IF(A162="","",Assumptions!$B$28)</f>
        <v>2000</v>
      </c>
      <c r="F162" s="10">
        <f t="shared" si="2"/>
        <v>0</v>
      </c>
      <c r="G162" s="7" t="str">
        <f>IF(A162="","",IF(D162=0,"",'Case calculations'!V58))</f>
        <v/>
      </c>
      <c r="H162" s="1" t="str">
        <f>IF(A162="","",IF(D162=0,"NO PATH",IF(G162&lt;Assumptions!$B$5,"BEFORE AS-OF",IF(G162&gt;=Assumptions!$B$7,"BEYOND HORIZON","IN HORIZON"))))</f>
        <v>NO PATH</v>
      </c>
    </row>
    <row r="163" spans="1:8" ht="22" customHeight="1">
      <c r="A163" s="1" t="str">
        <f>IF('Case calculations'!C58&lt;&gt;"OK","",'Case calculations'!A58)</f>
        <v>A-003</v>
      </c>
      <c r="B163" s="1" t="str">
        <f>IF(A163="","",'Case calculations'!B58)</f>
        <v>HEARING</v>
      </c>
      <c r="C163" s="1" t="str">
        <f>IF(A163="","","RECON")</f>
        <v>RECON</v>
      </c>
      <c r="D163" s="19">
        <f>IF(A163="","",'Case calculations'!O58)</f>
        <v>0</v>
      </c>
      <c r="E163" s="10">
        <f>IF(A163="","",Assumptions!$B$29)</f>
        <v>3000</v>
      </c>
      <c r="F163" s="10">
        <f t="shared" si="2"/>
        <v>0</v>
      </c>
      <c r="G163" s="7" t="str">
        <f>IF(A163="","",IF(D163=0,"",'Case calculations'!W58))</f>
        <v/>
      </c>
      <c r="H163" s="1" t="str">
        <f>IF(A163="","",IF(D163=0,"NO PATH",IF(G163&lt;Assumptions!$B$5,"BEFORE AS-OF",IF(G163&gt;=Assumptions!$B$7,"BEYOND HORIZON","IN HORIZON"))))</f>
        <v>NO PATH</v>
      </c>
    </row>
    <row r="164" spans="1:8" ht="22" customHeight="1">
      <c r="A164" s="1" t="str">
        <f>IF('Case calculations'!C58&lt;&gt;"OK","",'Case calculations'!A58)</f>
        <v>A-003</v>
      </c>
      <c r="B164" s="1" t="str">
        <f>IF(A164="","",'Case calculations'!B58)</f>
        <v>HEARING</v>
      </c>
      <c r="C164" s="1" t="str">
        <f>IF(A164="","","HEARING")</f>
        <v>HEARING</v>
      </c>
      <c r="D164" s="19">
        <f>IF(A164="","",'Case calculations'!S58)</f>
        <v>0.55000000000000004</v>
      </c>
      <c r="E164" s="10">
        <f>IF(A164="","",Assumptions!$B$30)</f>
        <v>4500</v>
      </c>
      <c r="F164" s="10">
        <f t="shared" si="2"/>
        <v>2475</v>
      </c>
      <c r="G164" s="7">
        <f>IF(A164="","",IF(D164=0,"",'Case calculations'!X58))</f>
        <v>46447</v>
      </c>
      <c r="H164" s="1" t="str">
        <f>IF(A164="","",IF(D164=0,"NO PATH",IF(G164&lt;Assumptions!$B$5,"BEFORE AS-OF",IF(G164&gt;=Assumptions!$B$7,"BEYOND HORIZON","IN HORIZON"))))</f>
        <v>IN HORIZON</v>
      </c>
    </row>
    <row r="165" spans="1:8" ht="22" customHeight="1">
      <c r="A165" s="1" t="str">
        <f>IF('Case calculations'!C59&lt;&gt;"OK","",'Case calculations'!A59)</f>
        <v>A-004</v>
      </c>
      <c r="B165" s="1" t="str">
        <f>IF(A165="","",'Case calculations'!B59)</f>
        <v>HEARING</v>
      </c>
      <c r="C165" s="1" t="str">
        <f>IF(A165="","","INITIAL")</f>
        <v>INITIAL</v>
      </c>
      <c r="D165" s="19">
        <f>IF(A165="","",'Case calculations'!N59)</f>
        <v>0</v>
      </c>
      <c r="E165" s="10">
        <f>IF(A165="","",Assumptions!$B$28)</f>
        <v>2000</v>
      </c>
      <c r="F165" s="10">
        <f t="shared" si="2"/>
        <v>0</v>
      </c>
      <c r="G165" s="7" t="str">
        <f>IF(A165="","",IF(D165=0,"",'Case calculations'!V59))</f>
        <v/>
      </c>
      <c r="H165" s="1" t="str">
        <f>IF(A165="","",IF(D165=0,"NO PATH",IF(G165&lt;Assumptions!$B$5,"BEFORE AS-OF",IF(G165&gt;=Assumptions!$B$7,"BEYOND HORIZON","IN HORIZON"))))</f>
        <v>NO PATH</v>
      </c>
    </row>
    <row r="166" spans="1:8" ht="22" customHeight="1">
      <c r="A166" s="1" t="str">
        <f>IF('Case calculations'!C59&lt;&gt;"OK","",'Case calculations'!A59)</f>
        <v>A-004</v>
      </c>
      <c r="B166" s="1" t="str">
        <f>IF(A166="","",'Case calculations'!B59)</f>
        <v>HEARING</v>
      </c>
      <c r="C166" s="1" t="str">
        <f>IF(A166="","","RECON")</f>
        <v>RECON</v>
      </c>
      <c r="D166" s="19">
        <f>IF(A166="","",'Case calculations'!O59)</f>
        <v>0</v>
      </c>
      <c r="E166" s="10">
        <f>IF(A166="","",Assumptions!$B$29)</f>
        <v>3000</v>
      </c>
      <c r="F166" s="10">
        <f t="shared" si="2"/>
        <v>0</v>
      </c>
      <c r="G166" s="7" t="str">
        <f>IF(A166="","",IF(D166=0,"",'Case calculations'!W59))</f>
        <v/>
      </c>
      <c r="H166" s="1" t="str">
        <f>IF(A166="","",IF(D166=0,"NO PATH",IF(G166&lt;Assumptions!$B$5,"BEFORE AS-OF",IF(G166&gt;=Assumptions!$B$7,"BEYOND HORIZON","IN HORIZON"))))</f>
        <v>NO PATH</v>
      </c>
    </row>
    <row r="167" spans="1:8" ht="22" customHeight="1">
      <c r="A167" s="1" t="str">
        <f>IF('Case calculations'!C59&lt;&gt;"OK","",'Case calculations'!A59)</f>
        <v>A-004</v>
      </c>
      <c r="B167" s="1" t="str">
        <f>IF(A167="","",'Case calculations'!B59)</f>
        <v>HEARING</v>
      </c>
      <c r="C167" s="1" t="str">
        <f>IF(A167="","","HEARING")</f>
        <v>HEARING</v>
      </c>
      <c r="D167" s="19">
        <f>IF(A167="","",'Case calculations'!S59)</f>
        <v>0.55000000000000004</v>
      </c>
      <c r="E167" s="10">
        <f>IF(A167="","",Assumptions!$B$30)</f>
        <v>4500</v>
      </c>
      <c r="F167" s="10">
        <f t="shared" si="2"/>
        <v>2475</v>
      </c>
      <c r="G167" s="7">
        <f>IF(A167="","",IF(D167=0,"",'Case calculations'!X59))</f>
        <v>46447</v>
      </c>
      <c r="H167" s="1" t="str">
        <f>IF(A167="","",IF(D167=0,"NO PATH",IF(G167&lt;Assumptions!$B$5,"BEFORE AS-OF",IF(G167&gt;=Assumptions!$B$7,"BEYOND HORIZON","IN HORIZON"))))</f>
        <v>IN HORIZON</v>
      </c>
    </row>
    <row r="168" spans="1:8" ht="22" customHeight="1">
      <c r="A168" s="1" t="str">
        <f>IF('Case calculations'!C60&lt;&gt;"OK","",'Case calculations'!A60)</f>
        <v>A-005</v>
      </c>
      <c r="B168" s="1" t="str">
        <f>IF(A168="","",'Case calculations'!B60)</f>
        <v>HEARING</v>
      </c>
      <c r="C168" s="1" t="str">
        <f>IF(A168="","","INITIAL")</f>
        <v>INITIAL</v>
      </c>
      <c r="D168" s="19">
        <f>IF(A168="","",'Case calculations'!N60)</f>
        <v>0</v>
      </c>
      <c r="E168" s="10">
        <f>IF(A168="","",Assumptions!$B$28)</f>
        <v>2000</v>
      </c>
      <c r="F168" s="10">
        <f t="shared" si="2"/>
        <v>0</v>
      </c>
      <c r="G168" s="7" t="str">
        <f>IF(A168="","",IF(D168=0,"",'Case calculations'!V60))</f>
        <v/>
      </c>
      <c r="H168" s="1" t="str">
        <f>IF(A168="","",IF(D168=0,"NO PATH",IF(G168&lt;Assumptions!$B$5,"BEFORE AS-OF",IF(G168&gt;=Assumptions!$B$7,"BEYOND HORIZON","IN HORIZON"))))</f>
        <v>NO PATH</v>
      </c>
    </row>
    <row r="169" spans="1:8" ht="22" customHeight="1">
      <c r="A169" s="1" t="str">
        <f>IF('Case calculations'!C60&lt;&gt;"OK","",'Case calculations'!A60)</f>
        <v>A-005</v>
      </c>
      <c r="B169" s="1" t="str">
        <f>IF(A169="","",'Case calculations'!B60)</f>
        <v>HEARING</v>
      </c>
      <c r="C169" s="1" t="str">
        <f>IF(A169="","","RECON")</f>
        <v>RECON</v>
      </c>
      <c r="D169" s="19">
        <f>IF(A169="","",'Case calculations'!O60)</f>
        <v>0</v>
      </c>
      <c r="E169" s="10">
        <f>IF(A169="","",Assumptions!$B$29)</f>
        <v>3000</v>
      </c>
      <c r="F169" s="10">
        <f t="shared" si="2"/>
        <v>0</v>
      </c>
      <c r="G169" s="7" t="str">
        <f>IF(A169="","",IF(D169=0,"",'Case calculations'!W60))</f>
        <v/>
      </c>
      <c r="H169" s="1" t="str">
        <f>IF(A169="","",IF(D169=0,"NO PATH",IF(G169&lt;Assumptions!$B$5,"BEFORE AS-OF",IF(G169&gt;=Assumptions!$B$7,"BEYOND HORIZON","IN HORIZON"))))</f>
        <v>NO PATH</v>
      </c>
    </row>
    <row r="170" spans="1:8" ht="22" customHeight="1">
      <c r="A170" s="1" t="str">
        <f>IF('Case calculations'!C60&lt;&gt;"OK","",'Case calculations'!A60)</f>
        <v>A-005</v>
      </c>
      <c r="B170" s="1" t="str">
        <f>IF(A170="","",'Case calculations'!B60)</f>
        <v>HEARING</v>
      </c>
      <c r="C170" s="1" t="str">
        <f>IF(A170="","","HEARING")</f>
        <v>HEARING</v>
      </c>
      <c r="D170" s="19">
        <f>IF(A170="","",'Case calculations'!S60)</f>
        <v>0.55000000000000004</v>
      </c>
      <c r="E170" s="10">
        <f>IF(A170="","",Assumptions!$B$30)</f>
        <v>4500</v>
      </c>
      <c r="F170" s="10">
        <f t="shared" si="2"/>
        <v>2475</v>
      </c>
      <c r="G170" s="7">
        <f>IF(A170="","",IF(D170=0,"",'Case calculations'!X60))</f>
        <v>46447</v>
      </c>
      <c r="H170" s="1" t="str">
        <f>IF(A170="","",IF(D170=0,"NO PATH",IF(G170&lt;Assumptions!$B$5,"BEFORE AS-OF",IF(G170&gt;=Assumptions!$B$7,"BEYOND HORIZON","IN HORIZON"))))</f>
        <v>IN HORIZON</v>
      </c>
    </row>
    <row r="171" spans="1:8" ht="22" customHeight="1">
      <c r="A171" s="1" t="str">
        <f>IF('Case calculations'!C61&lt;&gt;"OK","",'Case calculations'!A61)</f>
        <v>A-006</v>
      </c>
      <c r="B171" s="1" t="str">
        <f>IF(A171="","",'Case calculations'!B61)</f>
        <v>HEARING</v>
      </c>
      <c r="C171" s="1" t="str">
        <f>IF(A171="","","INITIAL")</f>
        <v>INITIAL</v>
      </c>
      <c r="D171" s="19">
        <f>IF(A171="","",'Case calculations'!N61)</f>
        <v>0</v>
      </c>
      <c r="E171" s="10">
        <f>IF(A171="","",Assumptions!$B$28)</f>
        <v>2000</v>
      </c>
      <c r="F171" s="10">
        <f t="shared" si="2"/>
        <v>0</v>
      </c>
      <c r="G171" s="7" t="str">
        <f>IF(A171="","",IF(D171=0,"",'Case calculations'!V61))</f>
        <v/>
      </c>
      <c r="H171" s="1" t="str">
        <f>IF(A171="","",IF(D171=0,"NO PATH",IF(G171&lt;Assumptions!$B$5,"BEFORE AS-OF",IF(G171&gt;=Assumptions!$B$7,"BEYOND HORIZON","IN HORIZON"))))</f>
        <v>NO PATH</v>
      </c>
    </row>
    <row r="172" spans="1:8" ht="22" customHeight="1">
      <c r="A172" s="1" t="str">
        <f>IF('Case calculations'!C61&lt;&gt;"OK","",'Case calculations'!A61)</f>
        <v>A-006</v>
      </c>
      <c r="B172" s="1" t="str">
        <f>IF(A172="","",'Case calculations'!B61)</f>
        <v>HEARING</v>
      </c>
      <c r="C172" s="1" t="str">
        <f>IF(A172="","","RECON")</f>
        <v>RECON</v>
      </c>
      <c r="D172" s="19">
        <f>IF(A172="","",'Case calculations'!O61)</f>
        <v>0</v>
      </c>
      <c r="E172" s="10">
        <f>IF(A172="","",Assumptions!$B$29)</f>
        <v>3000</v>
      </c>
      <c r="F172" s="10">
        <f t="shared" si="2"/>
        <v>0</v>
      </c>
      <c r="G172" s="7" t="str">
        <f>IF(A172="","",IF(D172=0,"",'Case calculations'!W61))</f>
        <v/>
      </c>
      <c r="H172" s="1" t="str">
        <f>IF(A172="","",IF(D172=0,"NO PATH",IF(G172&lt;Assumptions!$B$5,"BEFORE AS-OF",IF(G172&gt;=Assumptions!$B$7,"BEYOND HORIZON","IN HORIZON"))))</f>
        <v>NO PATH</v>
      </c>
    </row>
    <row r="173" spans="1:8" ht="22" customHeight="1">
      <c r="A173" s="1" t="str">
        <f>IF('Case calculations'!C61&lt;&gt;"OK","",'Case calculations'!A61)</f>
        <v>A-006</v>
      </c>
      <c r="B173" s="1" t="str">
        <f>IF(A173="","",'Case calculations'!B61)</f>
        <v>HEARING</v>
      </c>
      <c r="C173" s="1" t="str">
        <f>IF(A173="","","HEARING")</f>
        <v>HEARING</v>
      </c>
      <c r="D173" s="19">
        <f>IF(A173="","",'Case calculations'!S61)</f>
        <v>0.55000000000000004</v>
      </c>
      <c r="E173" s="10">
        <f>IF(A173="","",Assumptions!$B$30)</f>
        <v>4500</v>
      </c>
      <c r="F173" s="10">
        <f t="shared" si="2"/>
        <v>2475</v>
      </c>
      <c r="G173" s="7">
        <f>IF(A173="","",IF(D173=0,"",'Case calculations'!X61))</f>
        <v>46447</v>
      </c>
      <c r="H173" s="1" t="str">
        <f>IF(A173="","",IF(D173=0,"NO PATH",IF(G173&lt;Assumptions!$B$5,"BEFORE AS-OF",IF(G173&gt;=Assumptions!$B$7,"BEYOND HORIZON","IN HORIZON"))))</f>
        <v>IN HORIZON</v>
      </c>
    </row>
    <row r="174" spans="1:8" ht="22" customHeight="1">
      <c r="A174" s="1" t="str">
        <f>IF('Case calculations'!C62&lt;&gt;"OK","",'Case calculations'!A62)</f>
        <v>A-007</v>
      </c>
      <c r="B174" s="1" t="str">
        <f>IF(A174="","",'Case calculations'!B62)</f>
        <v>HEARING</v>
      </c>
      <c r="C174" s="1" t="str">
        <f>IF(A174="","","INITIAL")</f>
        <v>INITIAL</v>
      </c>
      <c r="D174" s="19">
        <f>IF(A174="","",'Case calculations'!N62)</f>
        <v>0</v>
      </c>
      <c r="E174" s="10">
        <f>IF(A174="","",Assumptions!$B$28)</f>
        <v>2000</v>
      </c>
      <c r="F174" s="10">
        <f t="shared" si="2"/>
        <v>0</v>
      </c>
      <c r="G174" s="7" t="str">
        <f>IF(A174="","",IF(D174=0,"",'Case calculations'!V62))</f>
        <v/>
      </c>
      <c r="H174" s="1" t="str">
        <f>IF(A174="","",IF(D174=0,"NO PATH",IF(G174&lt;Assumptions!$B$5,"BEFORE AS-OF",IF(G174&gt;=Assumptions!$B$7,"BEYOND HORIZON","IN HORIZON"))))</f>
        <v>NO PATH</v>
      </c>
    </row>
    <row r="175" spans="1:8" ht="22" customHeight="1">
      <c r="A175" s="1" t="str">
        <f>IF('Case calculations'!C62&lt;&gt;"OK","",'Case calculations'!A62)</f>
        <v>A-007</v>
      </c>
      <c r="B175" s="1" t="str">
        <f>IF(A175="","",'Case calculations'!B62)</f>
        <v>HEARING</v>
      </c>
      <c r="C175" s="1" t="str">
        <f>IF(A175="","","RECON")</f>
        <v>RECON</v>
      </c>
      <c r="D175" s="19">
        <f>IF(A175="","",'Case calculations'!O62)</f>
        <v>0</v>
      </c>
      <c r="E175" s="10">
        <f>IF(A175="","",Assumptions!$B$29)</f>
        <v>3000</v>
      </c>
      <c r="F175" s="10">
        <f t="shared" si="2"/>
        <v>0</v>
      </c>
      <c r="G175" s="7" t="str">
        <f>IF(A175="","",IF(D175=0,"",'Case calculations'!W62))</f>
        <v/>
      </c>
      <c r="H175" s="1" t="str">
        <f>IF(A175="","",IF(D175=0,"NO PATH",IF(G175&lt;Assumptions!$B$5,"BEFORE AS-OF",IF(G175&gt;=Assumptions!$B$7,"BEYOND HORIZON","IN HORIZON"))))</f>
        <v>NO PATH</v>
      </c>
    </row>
    <row r="176" spans="1:8" ht="22" customHeight="1">
      <c r="A176" s="1" t="str">
        <f>IF('Case calculations'!C62&lt;&gt;"OK","",'Case calculations'!A62)</f>
        <v>A-007</v>
      </c>
      <c r="B176" s="1" t="str">
        <f>IF(A176="","",'Case calculations'!B62)</f>
        <v>HEARING</v>
      </c>
      <c r="C176" s="1" t="str">
        <f>IF(A176="","","HEARING")</f>
        <v>HEARING</v>
      </c>
      <c r="D176" s="19">
        <f>IF(A176="","",'Case calculations'!S62)</f>
        <v>0.55000000000000004</v>
      </c>
      <c r="E176" s="10">
        <f>IF(A176="","",Assumptions!$B$30)</f>
        <v>4500</v>
      </c>
      <c r="F176" s="10">
        <f t="shared" si="2"/>
        <v>2475</v>
      </c>
      <c r="G176" s="7">
        <f>IF(A176="","",IF(D176=0,"",'Case calculations'!X62))</f>
        <v>46447</v>
      </c>
      <c r="H176" s="1" t="str">
        <f>IF(A176="","",IF(D176=0,"NO PATH",IF(G176&lt;Assumptions!$B$5,"BEFORE AS-OF",IF(G176&gt;=Assumptions!$B$7,"BEYOND HORIZON","IN HORIZON"))))</f>
        <v>IN HORIZON</v>
      </c>
    </row>
    <row r="177" spans="1:8" ht="22" customHeight="1">
      <c r="A177" s="1" t="str">
        <f>IF('Case calculations'!C63&lt;&gt;"OK","",'Case calculations'!A63)</f>
        <v>A-008</v>
      </c>
      <c r="B177" s="1" t="str">
        <f>IF(A177="","",'Case calculations'!B63)</f>
        <v>HEARING</v>
      </c>
      <c r="C177" s="1" t="str">
        <f>IF(A177="","","INITIAL")</f>
        <v>INITIAL</v>
      </c>
      <c r="D177" s="19">
        <f>IF(A177="","",'Case calculations'!N63)</f>
        <v>0</v>
      </c>
      <c r="E177" s="10">
        <f>IF(A177="","",Assumptions!$B$28)</f>
        <v>2000</v>
      </c>
      <c r="F177" s="10">
        <f t="shared" si="2"/>
        <v>0</v>
      </c>
      <c r="G177" s="7" t="str">
        <f>IF(A177="","",IF(D177=0,"",'Case calculations'!V63))</f>
        <v/>
      </c>
      <c r="H177" s="1" t="str">
        <f>IF(A177="","",IF(D177=0,"NO PATH",IF(G177&lt;Assumptions!$B$5,"BEFORE AS-OF",IF(G177&gt;=Assumptions!$B$7,"BEYOND HORIZON","IN HORIZON"))))</f>
        <v>NO PATH</v>
      </c>
    </row>
    <row r="178" spans="1:8" ht="22" customHeight="1">
      <c r="A178" s="1" t="str">
        <f>IF('Case calculations'!C63&lt;&gt;"OK","",'Case calculations'!A63)</f>
        <v>A-008</v>
      </c>
      <c r="B178" s="1" t="str">
        <f>IF(A178="","",'Case calculations'!B63)</f>
        <v>HEARING</v>
      </c>
      <c r="C178" s="1" t="str">
        <f>IF(A178="","","RECON")</f>
        <v>RECON</v>
      </c>
      <c r="D178" s="19">
        <f>IF(A178="","",'Case calculations'!O63)</f>
        <v>0</v>
      </c>
      <c r="E178" s="10">
        <f>IF(A178="","",Assumptions!$B$29)</f>
        <v>3000</v>
      </c>
      <c r="F178" s="10">
        <f t="shared" si="2"/>
        <v>0</v>
      </c>
      <c r="G178" s="7" t="str">
        <f>IF(A178="","",IF(D178=0,"",'Case calculations'!W63))</f>
        <v/>
      </c>
      <c r="H178" s="1" t="str">
        <f>IF(A178="","",IF(D178=0,"NO PATH",IF(G178&lt;Assumptions!$B$5,"BEFORE AS-OF",IF(G178&gt;=Assumptions!$B$7,"BEYOND HORIZON","IN HORIZON"))))</f>
        <v>NO PATH</v>
      </c>
    </row>
    <row r="179" spans="1:8" ht="22" customHeight="1">
      <c r="A179" s="1" t="str">
        <f>IF('Case calculations'!C63&lt;&gt;"OK","",'Case calculations'!A63)</f>
        <v>A-008</v>
      </c>
      <c r="B179" s="1" t="str">
        <f>IF(A179="","",'Case calculations'!B63)</f>
        <v>HEARING</v>
      </c>
      <c r="C179" s="1" t="str">
        <f>IF(A179="","","HEARING")</f>
        <v>HEARING</v>
      </c>
      <c r="D179" s="19">
        <f>IF(A179="","",'Case calculations'!S63)</f>
        <v>0.55000000000000004</v>
      </c>
      <c r="E179" s="10">
        <f>IF(A179="","",Assumptions!$B$30)</f>
        <v>4500</v>
      </c>
      <c r="F179" s="10">
        <f t="shared" si="2"/>
        <v>2475</v>
      </c>
      <c r="G179" s="7">
        <f>IF(A179="","",IF(D179=0,"",'Case calculations'!X63))</f>
        <v>46447</v>
      </c>
      <c r="H179" s="1" t="str">
        <f>IF(A179="","",IF(D179=0,"NO PATH",IF(G179&lt;Assumptions!$B$5,"BEFORE AS-OF",IF(G179&gt;=Assumptions!$B$7,"BEYOND HORIZON","IN HORIZON"))))</f>
        <v>IN HORIZON</v>
      </c>
    </row>
    <row r="180" spans="1:8" ht="22" customHeight="1">
      <c r="A180" s="1" t="str">
        <f>IF('Case calculations'!C64&lt;&gt;"OK","",'Case calculations'!A64)</f>
        <v>A-009</v>
      </c>
      <c r="B180" s="1" t="str">
        <f>IF(A180="","",'Case calculations'!B64)</f>
        <v>HEARING</v>
      </c>
      <c r="C180" s="1" t="str">
        <f>IF(A180="","","INITIAL")</f>
        <v>INITIAL</v>
      </c>
      <c r="D180" s="19">
        <f>IF(A180="","",'Case calculations'!N64)</f>
        <v>0</v>
      </c>
      <c r="E180" s="10">
        <f>IF(A180="","",Assumptions!$B$28)</f>
        <v>2000</v>
      </c>
      <c r="F180" s="10">
        <f t="shared" si="2"/>
        <v>0</v>
      </c>
      <c r="G180" s="7" t="str">
        <f>IF(A180="","",IF(D180=0,"",'Case calculations'!V64))</f>
        <v/>
      </c>
      <c r="H180" s="1" t="str">
        <f>IF(A180="","",IF(D180=0,"NO PATH",IF(G180&lt;Assumptions!$B$5,"BEFORE AS-OF",IF(G180&gt;=Assumptions!$B$7,"BEYOND HORIZON","IN HORIZON"))))</f>
        <v>NO PATH</v>
      </c>
    </row>
    <row r="181" spans="1:8" ht="22" customHeight="1">
      <c r="A181" s="1" t="str">
        <f>IF('Case calculations'!C64&lt;&gt;"OK","",'Case calculations'!A64)</f>
        <v>A-009</v>
      </c>
      <c r="B181" s="1" t="str">
        <f>IF(A181="","",'Case calculations'!B64)</f>
        <v>HEARING</v>
      </c>
      <c r="C181" s="1" t="str">
        <f>IF(A181="","","RECON")</f>
        <v>RECON</v>
      </c>
      <c r="D181" s="19">
        <f>IF(A181="","",'Case calculations'!O64)</f>
        <v>0</v>
      </c>
      <c r="E181" s="10">
        <f>IF(A181="","",Assumptions!$B$29)</f>
        <v>3000</v>
      </c>
      <c r="F181" s="10">
        <f t="shared" si="2"/>
        <v>0</v>
      </c>
      <c r="G181" s="7" t="str">
        <f>IF(A181="","",IF(D181=0,"",'Case calculations'!W64))</f>
        <v/>
      </c>
      <c r="H181" s="1" t="str">
        <f>IF(A181="","",IF(D181=0,"NO PATH",IF(G181&lt;Assumptions!$B$5,"BEFORE AS-OF",IF(G181&gt;=Assumptions!$B$7,"BEYOND HORIZON","IN HORIZON"))))</f>
        <v>NO PATH</v>
      </c>
    </row>
    <row r="182" spans="1:8" ht="22" customHeight="1">
      <c r="A182" s="1" t="str">
        <f>IF('Case calculations'!C64&lt;&gt;"OK","",'Case calculations'!A64)</f>
        <v>A-009</v>
      </c>
      <c r="B182" s="1" t="str">
        <f>IF(A182="","",'Case calculations'!B64)</f>
        <v>HEARING</v>
      </c>
      <c r="C182" s="1" t="str">
        <f>IF(A182="","","HEARING")</f>
        <v>HEARING</v>
      </c>
      <c r="D182" s="19">
        <f>IF(A182="","",'Case calculations'!S64)</f>
        <v>0.55000000000000004</v>
      </c>
      <c r="E182" s="10">
        <f>IF(A182="","",Assumptions!$B$30)</f>
        <v>4500</v>
      </c>
      <c r="F182" s="10">
        <f t="shared" si="2"/>
        <v>2475</v>
      </c>
      <c r="G182" s="7">
        <f>IF(A182="","",IF(D182=0,"",'Case calculations'!X64))</f>
        <v>46447</v>
      </c>
      <c r="H182" s="1" t="str">
        <f>IF(A182="","",IF(D182=0,"NO PATH",IF(G182&lt;Assumptions!$B$5,"BEFORE AS-OF",IF(G182&gt;=Assumptions!$B$7,"BEYOND HORIZON","IN HORIZON"))))</f>
        <v>IN HORIZON</v>
      </c>
    </row>
    <row r="183" spans="1:8" ht="22" customHeight="1">
      <c r="A183" s="1" t="str">
        <f>IF('Case calculations'!C65&lt;&gt;"OK","",'Case calculations'!A65)</f>
        <v>A-010</v>
      </c>
      <c r="B183" s="1" t="str">
        <f>IF(A183="","",'Case calculations'!B65)</f>
        <v>HEARING</v>
      </c>
      <c r="C183" s="1" t="str">
        <f>IF(A183="","","INITIAL")</f>
        <v>INITIAL</v>
      </c>
      <c r="D183" s="19">
        <f>IF(A183="","",'Case calculations'!N65)</f>
        <v>0</v>
      </c>
      <c r="E183" s="10">
        <f>IF(A183="","",Assumptions!$B$28)</f>
        <v>2000</v>
      </c>
      <c r="F183" s="10">
        <f t="shared" si="2"/>
        <v>0</v>
      </c>
      <c r="G183" s="7" t="str">
        <f>IF(A183="","",IF(D183=0,"",'Case calculations'!V65))</f>
        <v/>
      </c>
      <c r="H183" s="1" t="str">
        <f>IF(A183="","",IF(D183=0,"NO PATH",IF(G183&lt;Assumptions!$B$5,"BEFORE AS-OF",IF(G183&gt;=Assumptions!$B$7,"BEYOND HORIZON","IN HORIZON"))))</f>
        <v>NO PATH</v>
      </c>
    </row>
    <row r="184" spans="1:8" ht="22" customHeight="1">
      <c r="A184" s="1" t="str">
        <f>IF('Case calculations'!C65&lt;&gt;"OK","",'Case calculations'!A65)</f>
        <v>A-010</v>
      </c>
      <c r="B184" s="1" t="str">
        <f>IF(A184="","",'Case calculations'!B65)</f>
        <v>HEARING</v>
      </c>
      <c r="C184" s="1" t="str">
        <f>IF(A184="","","RECON")</f>
        <v>RECON</v>
      </c>
      <c r="D184" s="19">
        <f>IF(A184="","",'Case calculations'!O65)</f>
        <v>0</v>
      </c>
      <c r="E184" s="10">
        <f>IF(A184="","",Assumptions!$B$29)</f>
        <v>3000</v>
      </c>
      <c r="F184" s="10">
        <f t="shared" si="2"/>
        <v>0</v>
      </c>
      <c r="G184" s="7" t="str">
        <f>IF(A184="","",IF(D184=0,"",'Case calculations'!W65))</f>
        <v/>
      </c>
      <c r="H184" s="1" t="str">
        <f>IF(A184="","",IF(D184=0,"NO PATH",IF(G184&lt;Assumptions!$B$5,"BEFORE AS-OF",IF(G184&gt;=Assumptions!$B$7,"BEYOND HORIZON","IN HORIZON"))))</f>
        <v>NO PATH</v>
      </c>
    </row>
    <row r="185" spans="1:8" ht="22" customHeight="1">
      <c r="A185" s="1" t="str">
        <f>IF('Case calculations'!C65&lt;&gt;"OK","",'Case calculations'!A65)</f>
        <v>A-010</v>
      </c>
      <c r="B185" s="1" t="str">
        <f>IF(A185="","",'Case calculations'!B65)</f>
        <v>HEARING</v>
      </c>
      <c r="C185" s="1" t="str">
        <f>IF(A185="","","HEARING")</f>
        <v>HEARING</v>
      </c>
      <c r="D185" s="19">
        <f>IF(A185="","",'Case calculations'!S65)</f>
        <v>0.55000000000000004</v>
      </c>
      <c r="E185" s="10">
        <f>IF(A185="","",Assumptions!$B$30)</f>
        <v>4500</v>
      </c>
      <c r="F185" s="10">
        <f t="shared" si="2"/>
        <v>2475</v>
      </c>
      <c r="G185" s="7">
        <f>IF(A185="","",IF(D185=0,"",'Case calculations'!X65))</f>
        <v>46447</v>
      </c>
      <c r="H185" s="1" t="str">
        <f>IF(A185="","",IF(D185=0,"NO PATH",IF(G185&lt;Assumptions!$B$5,"BEFORE AS-OF",IF(G185&gt;=Assumptions!$B$7,"BEYOND HORIZON","IN HORIZON"))))</f>
        <v>IN HORIZON</v>
      </c>
    </row>
    <row r="186" spans="1:8" ht="22" customHeight="1">
      <c r="A186" s="1" t="str">
        <f>IF('Case calculations'!C66&lt;&gt;"OK","",'Case calculations'!A66)</f>
        <v>A-011</v>
      </c>
      <c r="B186" s="1" t="str">
        <f>IF(A186="","",'Case calculations'!B66)</f>
        <v>HEARING</v>
      </c>
      <c r="C186" s="1" t="str">
        <f>IF(A186="","","INITIAL")</f>
        <v>INITIAL</v>
      </c>
      <c r="D186" s="19">
        <f>IF(A186="","",'Case calculations'!N66)</f>
        <v>0</v>
      </c>
      <c r="E186" s="10">
        <f>IF(A186="","",Assumptions!$B$28)</f>
        <v>2000</v>
      </c>
      <c r="F186" s="10">
        <f t="shared" si="2"/>
        <v>0</v>
      </c>
      <c r="G186" s="7" t="str">
        <f>IF(A186="","",IF(D186=0,"",'Case calculations'!V66))</f>
        <v/>
      </c>
      <c r="H186" s="1" t="str">
        <f>IF(A186="","",IF(D186=0,"NO PATH",IF(G186&lt;Assumptions!$B$5,"BEFORE AS-OF",IF(G186&gt;=Assumptions!$B$7,"BEYOND HORIZON","IN HORIZON"))))</f>
        <v>NO PATH</v>
      </c>
    </row>
    <row r="187" spans="1:8" ht="22" customHeight="1">
      <c r="A187" s="1" t="str">
        <f>IF('Case calculations'!C66&lt;&gt;"OK","",'Case calculations'!A66)</f>
        <v>A-011</v>
      </c>
      <c r="B187" s="1" t="str">
        <f>IF(A187="","",'Case calculations'!B66)</f>
        <v>HEARING</v>
      </c>
      <c r="C187" s="1" t="str">
        <f>IF(A187="","","RECON")</f>
        <v>RECON</v>
      </c>
      <c r="D187" s="19">
        <f>IF(A187="","",'Case calculations'!O66)</f>
        <v>0</v>
      </c>
      <c r="E187" s="10">
        <f>IF(A187="","",Assumptions!$B$29)</f>
        <v>3000</v>
      </c>
      <c r="F187" s="10">
        <f t="shared" si="2"/>
        <v>0</v>
      </c>
      <c r="G187" s="7" t="str">
        <f>IF(A187="","",IF(D187=0,"",'Case calculations'!W66))</f>
        <v/>
      </c>
      <c r="H187" s="1" t="str">
        <f>IF(A187="","",IF(D187=0,"NO PATH",IF(G187&lt;Assumptions!$B$5,"BEFORE AS-OF",IF(G187&gt;=Assumptions!$B$7,"BEYOND HORIZON","IN HORIZON"))))</f>
        <v>NO PATH</v>
      </c>
    </row>
    <row r="188" spans="1:8" ht="22" customHeight="1">
      <c r="A188" s="1" t="str">
        <f>IF('Case calculations'!C66&lt;&gt;"OK","",'Case calculations'!A66)</f>
        <v>A-011</v>
      </c>
      <c r="B188" s="1" t="str">
        <f>IF(A188="","",'Case calculations'!B66)</f>
        <v>HEARING</v>
      </c>
      <c r="C188" s="1" t="str">
        <f>IF(A188="","","HEARING")</f>
        <v>HEARING</v>
      </c>
      <c r="D188" s="19">
        <f>IF(A188="","",'Case calculations'!S66)</f>
        <v>0.55000000000000004</v>
      </c>
      <c r="E188" s="10">
        <f>IF(A188="","",Assumptions!$B$30)</f>
        <v>4500</v>
      </c>
      <c r="F188" s="10">
        <f t="shared" si="2"/>
        <v>2475</v>
      </c>
      <c r="G188" s="7">
        <f>IF(A188="","",IF(D188=0,"",'Case calculations'!X66))</f>
        <v>46447</v>
      </c>
      <c r="H188" s="1" t="str">
        <f>IF(A188="","",IF(D188=0,"NO PATH",IF(G188&lt;Assumptions!$B$5,"BEFORE AS-OF",IF(G188&gt;=Assumptions!$B$7,"BEYOND HORIZON","IN HORIZON"))))</f>
        <v>IN HORIZON</v>
      </c>
    </row>
    <row r="189" spans="1:8" ht="22" customHeight="1">
      <c r="A189" s="1" t="str">
        <f>IF('Case calculations'!C67&lt;&gt;"OK","",'Case calculations'!A67)</f>
        <v>A-012</v>
      </c>
      <c r="B189" s="1" t="str">
        <f>IF(A189="","",'Case calculations'!B67)</f>
        <v>HEARING</v>
      </c>
      <c r="C189" s="1" t="str">
        <f>IF(A189="","","INITIAL")</f>
        <v>INITIAL</v>
      </c>
      <c r="D189" s="19">
        <f>IF(A189="","",'Case calculations'!N67)</f>
        <v>0</v>
      </c>
      <c r="E189" s="10">
        <f>IF(A189="","",Assumptions!$B$28)</f>
        <v>2000</v>
      </c>
      <c r="F189" s="10">
        <f t="shared" si="2"/>
        <v>0</v>
      </c>
      <c r="G189" s="7" t="str">
        <f>IF(A189="","",IF(D189=0,"",'Case calculations'!V67))</f>
        <v/>
      </c>
      <c r="H189" s="1" t="str">
        <f>IF(A189="","",IF(D189=0,"NO PATH",IF(G189&lt;Assumptions!$B$5,"BEFORE AS-OF",IF(G189&gt;=Assumptions!$B$7,"BEYOND HORIZON","IN HORIZON"))))</f>
        <v>NO PATH</v>
      </c>
    </row>
    <row r="190" spans="1:8" ht="22" customHeight="1">
      <c r="A190" s="1" t="str">
        <f>IF('Case calculations'!C67&lt;&gt;"OK","",'Case calculations'!A67)</f>
        <v>A-012</v>
      </c>
      <c r="B190" s="1" t="str">
        <f>IF(A190="","",'Case calculations'!B67)</f>
        <v>HEARING</v>
      </c>
      <c r="C190" s="1" t="str">
        <f>IF(A190="","","RECON")</f>
        <v>RECON</v>
      </c>
      <c r="D190" s="19">
        <f>IF(A190="","",'Case calculations'!O67)</f>
        <v>0</v>
      </c>
      <c r="E190" s="10">
        <f>IF(A190="","",Assumptions!$B$29)</f>
        <v>3000</v>
      </c>
      <c r="F190" s="10">
        <f t="shared" si="2"/>
        <v>0</v>
      </c>
      <c r="G190" s="7" t="str">
        <f>IF(A190="","",IF(D190=0,"",'Case calculations'!W67))</f>
        <v/>
      </c>
      <c r="H190" s="1" t="str">
        <f>IF(A190="","",IF(D190=0,"NO PATH",IF(G190&lt;Assumptions!$B$5,"BEFORE AS-OF",IF(G190&gt;=Assumptions!$B$7,"BEYOND HORIZON","IN HORIZON"))))</f>
        <v>NO PATH</v>
      </c>
    </row>
    <row r="191" spans="1:8" ht="22" customHeight="1">
      <c r="A191" s="1" t="str">
        <f>IF('Case calculations'!C67&lt;&gt;"OK","",'Case calculations'!A67)</f>
        <v>A-012</v>
      </c>
      <c r="B191" s="1" t="str">
        <f>IF(A191="","",'Case calculations'!B67)</f>
        <v>HEARING</v>
      </c>
      <c r="C191" s="1" t="str">
        <f>IF(A191="","","HEARING")</f>
        <v>HEARING</v>
      </c>
      <c r="D191" s="19">
        <f>IF(A191="","",'Case calculations'!S67)</f>
        <v>0.55000000000000004</v>
      </c>
      <c r="E191" s="10">
        <f>IF(A191="","",Assumptions!$B$30)</f>
        <v>4500</v>
      </c>
      <c r="F191" s="10">
        <f t="shared" si="2"/>
        <v>2475</v>
      </c>
      <c r="G191" s="7">
        <f>IF(A191="","",IF(D191=0,"",'Case calculations'!X67))</f>
        <v>46447</v>
      </c>
      <c r="H191" s="1" t="str">
        <f>IF(A191="","",IF(D191=0,"NO PATH",IF(G191&lt;Assumptions!$B$5,"BEFORE AS-OF",IF(G191&gt;=Assumptions!$B$7,"BEYOND HORIZON","IN HORIZON"))))</f>
        <v>IN HORIZON</v>
      </c>
    </row>
    <row r="192" spans="1:8" ht="22" customHeight="1">
      <c r="A192" s="1" t="str">
        <f>IF('Case calculations'!C68&lt;&gt;"OK","",'Case calculations'!A68)</f>
        <v>A-013</v>
      </c>
      <c r="B192" s="1" t="str">
        <f>IF(A192="","",'Case calculations'!B68)</f>
        <v>HEARING</v>
      </c>
      <c r="C192" s="1" t="str">
        <f>IF(A192="","","INITIAL")</f>
        <v>INITIAL</v>
      </c>
      <c r="D192" s="19">
        <f>IF(A192="","",'Case calculations'!N68)</f>
        <v>0</v>
      </c>
      <c r="E192" s="10">
        <f>IF(A192="","",Assumptions!$B$28)</f>
        <v>2000</v>
      </c>
      <c r="F192" s="10">
        <f t="shared" si="2"/>
        <v>0</v>
      </c>
      <c r="G192" s="7" t="str">
        <f>IF(A192="","",IF(D192=0,"",'Case calculations'!V68))</f>
        <v/>
      </c>
      <c r="H192" s="1" t="str">
        <f>IF(A192="","",IF(D192=0,"NO PATH",IF(G192&lt;Assumptions!$B$5,"BEFORE AS-OF",IF(G192&gt;=Assumptions!$B$7,"BEYOND HORIZON","IN HORIZON"))))</f>
        <v>NO PATH</v>
      </c>
    </row>
    <row r="193" spans="1:8" ht="22" customHeight="1">
      <c r="A193" s="1" t="str">
        <f>IF('Case calculations'!C68&lt;&gt;"OK","",'Case calculations'!A68)</f>
        <v>A-013</v>
      </c>
      <c r="B193" s="1" t="str">
        <f>IF(A193="","",'Case calculations'!B68)</f>
        <v>HEARING</v>
      </c>
      <c r="C193" s="1" t="str">
        <f>IF(A193="","","RECON")</f>
        <v>RECON</v>
      </c>
      <c r="D193" s="19">
        <f>IF(A193="","",'Case calculations'!O68)</f>
        <v>0</v>
      </c>
      <c r="E193" s="10">
        <f>IF(A193="","",Assumptions!$B$29)</f>
        <v>3000</v>
      </c>
      <c r="F193" s="10">
        <f t="shared" si="2"/>
        <v>0</v>
      </c>
      <c r="G193" s="7" t="str">
        <f>IF(A193="","",IF(D193=0,"",'Case calculations'!W68))</f>
        <v/>
      </c>
      <c r="H193" s="1" t="str">
        <f>IF(A193="","",IF(D193=0,"NO PATH",IF(G193&lt;Assumptions!$B$5,"BEFORE AS-OF",IF(G193&gt;=Assumptions!$B$7,"BEYOND HORIZON","IN HORIZON"))))</f>
        <v>NO PATH</v>
      </c>
    </row>
    <row r="194" spans="1:8" ht="22" customHeight="1">
      <c r="A194" s="1" t="str">
        <f>IF('Case calculations'!C68&lt;&gt;"OK","",'Case calculations'!A68)</f>
        <v>A-013</v>
      </c>
      <c r="B194" s="1" t="str">
        <f>IF(A194="","",'Case calculations'!B68)</f>
        <v>HEARING</v>
      </c>
      <c r="C194" s="1" t="str">
        <f>IF(A194="","","HEARING")</f>
        <v>HEARING</v>
      </c>
      <c r="D194" s="19">
        <f>IF(A194="","",'Case calculations'!S68)</f>
        <v>0.55000000000000004</v>
      </c>
      <c r="E194" s="10">
        <f>IF(A194="","",Assumptions!$B$30)</f>
        <v>4500</v>
      </c>
      <c r="F194" s="10">
        <f t="shared" si="2"/>
        <v>2475</v>
      </c>
      <c r="G194" s="7">
        <f>IF(A194="","",IF(D194=0,"",'Case calculations'!X68))</f>
        <v>46447</v>
      </c>
      <c r="H194" s="1" t="str">
        <f>IF(A194="","",IF(D194=0,"NO PATH",IF(G194&lt;Assumptions!$B$5,"BEFORE AS-OF",IF(G194&gt;=Assumptions!$B$7,"BEYOND HORIZON","IN HORIZON"))))</f>
        <v>IN HORIZON</v>
      </c>
    </row>
    <row r="195" spans="1:8" ht="22" customHeight="1">
      <c r="A195" s="1" t="str">
        <f>IF('Case calculations'!C69&lt;&gt;"OK","",'Case calculations'!A69)</f>
        <v>A-014</v>
      </c>
      <c r="B195" s="1" t="str">
        <f>IF(A195="","",'Case calculations'!B69)</f>
        <v>HEARING</v>
      </c>
      <c r="C195" s="1" t="str">
        <f>IF(A195="","","INITIAL")</f>
        <v>INITIAL</v>
      </c>
      <c r="D195" s="19">
        <f>IF(A195="","",'Case calculations'!N69)</f>
        <v>0</v>
      </c>
      <c r="E195" s="10">
        <f>IF(A195="","",Assumptions!$B$28)</f>
        <v>2000</v>
      </c>
      <c r="F195" s="10">
        <f t="shared" si="2"/>
        <v>0</v>
      </c>
      <c r="G195" s="7" t="str">
        <f>IF(A195="","",IF(D195=0,"",'Case calculations'!V69))</f>
        <v/>
      </c>
      <c r="H195" s="1" t="str">
        <f>IF(A195="","",IF(D195=0,"NO PATH",IF(G195&lt;Assumptions!$B$5,"BEFORE AS-OF",IF(G195&gt;=Assumptions!$B$7,"BEYOND HORIZON","IN HORIZON"))))</f>
        <v>NO PATH</v>
      </c>
    </row>
    <row r="196" spans="1:8" ht="22" customHeight="1">
      <c r="A196" s="1" t="str">
        <f>IF('Case calculations'!C69&lt;&gt;"OK","",'Case calculations'!A69)</f>
        <v>A-014</v>
      </c>
      <c r="B196" s="1" t="str">
        <f>IF(A196="","",'Case calculations'!B69)</f>
        <v>HEARING</v>
      </c>
      <c r="C196" s="1" t="str">
        <f>IF(A196="","","RECON")</f>
        <v>RECON</v>
      </c>
      <c r="D196" s="19">
        <f>IF(A196="","",'Case calculations'!O69)</f>
        <v>0</v>
      </c>
      <c r="E196" s="10">
        <f>IF(A196="","",Assumptions!$B$29)</f>
        <v>3000</v>
      </c>
      <c r="F196" s="10">
        <f t="shared" si="2"/>
        <v>0</v>
      </c>
      <c r="G196" s="7" t="str">
        <f>IF(A196="","",IF(D196=0,"",'Case calculations'!W69))</f>
        <v/>
      </c>
      <c r="H196" s="1" t="str">
        <f>IF(A196="","",IF(D196=0,"NO PATH",IF(G196&lt;Assumptions!$B$5,"BEFORE AS-OF",IF(G196&gt;=Assumptions!$B$7,"BEYOND HORIZON","IN HORIZON"))))</f>
        <v>NO PATH</v>
      </c>
    </row>
    <row r="197" spans="1:8" ht="22" customHeight="1">
      <c r="A197" s="1" t="str">
        <f>IF('Case calculations'!C69&lt;&gt;"OK","",'Case calculations'!A69)</f>
        <v>A-014</v>
      </c>
      <c r="B197" s="1" t="str">
        <f>IF(A197="","",'Case calculations'!B69)</f>
        <v>HEARING</v>
      </c>
      <c r="C197" s="1" t="str">
        <f>IF(A197="","","HEARING")</f>
        <v>HEARING</v>
      </c>
      <c r="D197" s="19">
        <f>IF(A197="","",'Case calculations'!S69)</f>
        <v>0.55000000000000004</v>
      </c>
      <c r="E197" s="10">
        <f>IF(A197="","",Assumptions!$B$30)</f>
        <v>4500</v>
      </c>
      <c r="F197" s="10">
        <f t="shared" si="2"/>
        <v>2475</v>
      </c>
      <c r="G197" s="7">
        <f>IF(A197="","",IF(D197=0,"",'Case calculations'!X69))</f>
        <v>46447</v>
      </c>
      <c r="H197" s="1" t="str">
        <f>IF(A197="","",IF(D197=0,"NO PATH",IF(G197&lt;Assumptions!$B$5,"BEFORE AS-OF",IF(G197&gt;=Assumptions!$B$7,"BEYOND HORIZON","IN HORIZON"))))</f>
        <v>IN HORIZON</v>
      </c>
    </row>
    <row r="198" spans="1:8" ht="22" customHeight="1">
      <c r="A198" s="1" t="str">
        <f>IF('Case calculations'!C70&lt;&gt;"OK","",'Case calculations'!A70)</f>
        <v>A-015</v>
      </c>
      <c r="B198" s="1" t="str">
        <f>IF(A198="","",'Case calculations'!B70)</f>
        <v>HEARING</v>
      </c>
      <c r="C198" s="1" t="str">
        <f>IF(A198="","","INITIAL")</f>
        <v>INITIAL</v>
      </c>
      <c r="D198" s="19">
        <f>IF(A198="","",'Case calculations'!N70)</f>
        <v>0</v>
      </c>
      <c r="E198" s="10">
        <f>IF(A198="","",Assumptions!$B$28)</f>
        <v>2000</v>
      </c>
      <c r="F198" s="10">
        <f t="shared" ref="F198:F261" si="3">IF(A198="","",D198*E198)</f>
        <v>0</v>
      </c>
      <c r="G198" s="7" t="str">
        <f>IF(A198="","",IF(D198=0,"",'Case calculations'!V70))</f>
        <v/>
      </c>
      <c r="H198" s="1" t="str">
        <f>IF(A198="","",IF(D198=0,"NO PATH",IF(G198&lt;Assumptions!$B$5,"BEFORE AS-OF",IF(G198&gt;=Assumptions!$B$7,"BEYOND HORIZON","IN HORIZON"))))</f>
        <v>NO PATH</v>
      </c>
    </row>
    <row r="199" spans="1:8" ht="22" customHeight="1">
      <c r="A199" s="1" t="str">
        <f>IF('Case calculations'!C70&lt;&gt;"OK","",'Case calculations'!A70)</f>
        <v>A-015</v>
      </c>
      <c r="B199" s="1" t="str">
        <f>IF(A199="","",'Case calculations'!B70)</f>
        <v>HEARING</v>
      </c>
      <c r="C199" s="1" t="str">
        <f>IF(A199="","","RECON")</f>
        <v>RECON</v>
      </c>
      <c r="D199" s="19">
        <f>IF(A199="","",'Case calculations'!O70)</f>
        <v>0</v>
      </c>
      <c r="E199" s="10">
        <f>IF(A199="","",Assumptions!$B$29)</f>
        <v>3000</v>
      </c>
      <c r="F199" s="10">
        <f t="shared" si="3"/>
        <v>0</v>
      </c>
      <c r="G199" s="7" t="str">
        <f>IF(A199="","",IF(D199=0,"",'Case calculations'!W70))</f>
        <v/>
      </c>
      <c r="H199" s="1" t="str">
        <f>IF(A199="","",IF(D199=0,"NO PATH",IF(G199&lt;Assumptions!$B$5,"BEFORE AS-OF",IF(G199&gt;=Assumptions!$B$7,"BEYOND HORIZON","IN HORIZON"))))</f>
        <v>NO PATH</v>
      </c>
    </row>
    <row r="200" spans="1:8" ht="22" customHeight="1">
      <c r="A200" s="1" t="str">
        <f>IF('Case calculations'!C70&lt;&gt;"OK","",'Case calculations'!A70)</f>
        <v>A-015</v>
      </c>
      <c r="B200" s="1" t="str">
        <f>IF(A200="","",'Case calculations'!B70)</f>
        <v>HEARING</v>
      </c>
      <c r="C200" s="1" t="str">
        <f>IF(A200="","","HEARING")</f>
        <v>HEARING</v>
      </c>
      <c r="D200" s="19">
        <f>IF(A200="","",'Case calculations'!S70)</f>
        <v>0.55000000000000004</v>
      </c>
      <c r="E200" s="10">
        <f>IF(A200="","",Assumptions!$B$30)</f>
        <v>4500</v>
      </c>
      <c r="F200" s="10">
        <f t="shared" si="3"/>
        <v>2475</v>
      </c>
      <c r="G200" s="7">
        <f>IF(A200="","",IF(D200=0,"",'Case calculations'!X70))</f>
        <v>46447</v>
      </c>
      <c r="H200" s="1" t="str">
        <f>IF(A200="","",IF(D200=0,"NO PATH",IF(G200&lt;Assumptions!$B$5,"BEFORE AS-OF",IF(G200&gt;=Assumptions!$B$7,"BEYOND HORIZON","IN HORIZON"))))</f>
        <v>IN HORIZON</v>
      </c>
    </row>
    <row r="201" spans="1:8" ht="22" customHeight="1">
      <c r="A201" s="1" t="str">
        <f>IF('Case calculations'!C71&lt;&gt;"OK","",'Case calculations'!A71)</f>
        <v>A-016</v>
      </c>
      <c r="B201" s="1" t="str">
        <f>IF(A201="","",'Case calculations'!B71)</f>
        <v>HEARING</v>
      </c>
      <c r="C201" s="1" t="str">
        <f>IF(A201="","","INITIAL")</f>
        <v>INITIAL</v>
      </c>
      <c r="D201" s="19">
        <f>IF(A201="","",'Case calculations'!N71)</f>
        <v>0</v>
      </c>
      <c r="E201" s="10">
        <f>IF(A201="","",Assumptions!$B$28)</f>
        <v>2000</v>
      </c>
      <c r="F201" s="10">
        <f t="shared" si="3"/>
        <v>0</v>
      </c>
      <c r="G201" s="7" t="str">
        <f>IF(A201="","",IF(D201=0,"",'Case calculations'!V71))</f>
        <v/>
      </c>
      <c r="H201" s="1" t="str">
        <f>IF(A201="","",IF(D201=0,"NO PATH",IF(G201&lt;Assumptions!$B$5,"BEFORE AS-OF",IF(G201&gt;=Assumptions!$B$7,"BEYOND HORIZON","IN HORIZON"))))</f>
        <v>NO PATH</v>
      </c>
    </row>
    <row r="202" spans="1:8" ht="22" customHeight="1">
      <c r="A202" s="1" t="str">
        <f>IF('Case calculations'!C71&lt;&gt;"OK","",'Case calculations'!A71)</f>
        <v>A-016</v>
      </c>
      <c r="B202" s="1" t="str">
        <f>IF(A202="","",'Case calculations'!B71)</f>
        <v>HEARING</v>
      </c>
      <c r="C202" s="1" t="str">
        <f>IF(A202="","","RECON")</f>
        <v>RECON</v>
      </c>
      <c r="D202" s="19">
        <f>IF(A202="","",'Case calculations'!O71)</f>
        <v>0</v>
      </c>
      <c r="E202" s="10">
        <f>IF(A202="","",Assumptions!$B$29)</f>
        <v>3000</v>
      </c>
      <c r="F202" s="10">
        <f t="shared" si="3"/>
        <v>0</v>
      </c>
      <c r="G202" s="7" t="str">
        <f>IF(A202="","",IF(D202=0,"",'Case calculations'!W71))</f>
        <v/>
      </c>
      <c r="H202" s="1" t="str">
        <f>IF(A202="","",IF(D202=0,"NO PATH",IF(G202&lt;Assumptions!$B$5,"BEFORE AS-OF",IF(G202&gt;=Assumptions!$B$7,"BEYOND HORIZON","IN HORIZON"))))</f>
        <v>NO PATH</v>
      </c>
    </row>
    <row r="203" spans="1:8" ht="22" customHeight="1">
      <c r="A203" s="1" t="str">
        <f>IF('Case calculations'!C71&lt;&gt;"OK","",'Case calculations'!A71)</f>
        <v>A-016</v>
      </c>
      <c r="B203" s="1" t="str">
        <f>IF(A203="","",'Case calculations'!B71)</f>
        <v>HEARING</v>
      </c>
      <c r="C203" s="1" t="str">
        <f>IF(A203="","","HEARING")</f>
        <v>HEARING</v>
      </c>
      <c r="D203" s="19">
        <f>IF(A203="","",'Case calculations'!S71)</f>
        <v>0.55000000000000004</v>
      </c>
      <c r="E203" s="10">
        <f>IF(A203="","",Assumptions!$B$30)</f>
        <v>4500</v>
      </c>
      <c r="F203" s="10">
        <f t="shared" si="3"/>
        <v>2475</v>
      </c>
      <c r="G203" s="7">
        <f>IF(A203="","",IF(D203=0,"",'Case calculations'!X71))</f>
        <v>46447</v>
      </c>
      <c r="H203" s="1" t="str">
        <f>IF(A203="","",IF(D203=0,"NO PATH",IF(G203&lt;Assumptions!$B$5,"BEFORE AS-OF",IF(G203&gt;=Assumptions!$B$7,"BEYOND HORIZON","IN HORIZON"))))</f>
        <v>IN HORIZON</v>
      </c>
    </row>
    <row r="204" spans="1:8" ht="22" customHeight="1">
      <c r="A204" s="1" t="str">
        <f>IF('Case calculations'!C72&lt;&gt;"OK","",'Case calculations'!A72)</f>
        <v>A-017</v>
      </c>
      <c r="B204" s="1" t="str">
        <f>IF(A204="","",'Case calculations'!B72)</f>
        <v>HEARING</v>
      </c>
      <c r="C204" s="1" t="str">
        <f>IF(A204="","","INITIAL")</f>
        <v>INITIAL</v>
      </c>
      <c r="D204" s="19">
        <f>IF(A204="","",'Case calculations'!N72)</f>
        <v>0</v>
      </c>
      <c r="E204" s="10">
        <f>IF(A204="","",Assumptions!$B$28)</f>
        <v>2000</v>
      </c>
      <c r="F204" s="10">
        <f t="shared" si="3"/>
        <v>0</v>
      </c>
      <c r="G204" s="7" t="str">
        <f>IF(A204="","",IF(D204=0,"",'Case calculations'!V72))</f>
        <v/>
      </c>
      <c r="H204" s="1" t="str">
        <f>IF(A204="","",IF(D204=0,"NO PATH",IF(G204&lt;Assumptions!$B$5,"BEFORE AS-OF",IF(G204&gt;=Assumptions!$B$7,"BEYOND HORIZON","IN HORIZON"))))</f>
        <v>NO PATH</v>
      </c>
    </row>
    <row r="205" spans="1:8" ht="22" customHeight="1">
      <c r="A205" s="1" t="str">
        <f>IF('Case calculations'!C72&lt;&gt;"OK","",'Case calculations'!A72)</f>
        <v>A-017</v>
      </c>
      <c r="B205" s="1" t="str">
        <f>IF(A205="","",'Case calculations'!B72)</f>
        <v>HEARING</v>
      </c>
      <c r="C205" s="1" t="str">
        <f>IF(A205="","","RECON")</f>
        <v>RECON</v>
      </c>
      <c r="D205" s="19">
        <f>IF(A205="","",'Case calculations'!O72)</f>
        <v>0</v>
      </c>
      <c r="E205" s="10">
        <f>IF(A205="","",Assumptions!$B$29)</f>
        <v>3000</v>
      </c>
      <c r="F205" s="10">
        <f t="shared" si="3"/>
        <v>0</v>
      </c>
      <c r="G205" s="7" t="str">
        <f>IF(A205="","",IF(D205=0,"",'Case calculations'!W72))</f>
        <v/>
      </c>
      <c r="H205" s="1" t="str">
        <f>IF(A205="","",IF(D205=0,"NO PATH",IF(G205&lt;Assumptions!$B$5,"BEFORE AS-OF",IF(G205&gt;=Assumptions!$B$7,"BEYOND HORIZON","IN HORIZON"))))</f>
        <v>NO PATH</v>
      </c>
    </row>
    <row r="206" spans="1:8" ht="22" customHeight="1">
      <c r="A206" s="1" t="str">
        <f>IF('Case calculations'!C72&lt;&gt;"OK","",'Case calculations'!A72)</f>
        <v>A-017</v>
      </c>
      <c r="B206" s="1" t="str">
        <f>IF(A206="","",'Case calculations'!B72)</f>
        <v>HEARING</v>
      </c>
      <c r="C206" s="1" t="str">
        <f>IF(A206="","","HEARING")</f>
        <v>HEARING</v>
      </c>
      <c r="D206" s="19">
        <f>IF(A206="","",'Case calculations'!S72)</f>
        <v>0.55000000000000004</v>
      </c>
      <c r="E206" s="10">
        <f>IF(A206="","",Assumptions!$B$30)</f>
        <v>4500</v>
      </c>
      <c r="F206" s="10">
        <f t="shared" si="3"/>
        <v>2475</v>
      </c>
      <c r="G206" s="7">
        <f>IF(A206="","",IF(D206=0,"",'Case calculations'!X72))</f>
        <v>46447</v>
      </c>
      <c r="H206" s="1" t="str">
        <f>IF(A206="","",IF(D206=0,"NO PATH",IF(G206&lt;Assumptions!$B$5,"BEFORE AS-OF",IF(G206&gt;=Assumptions!$B$7,"BEYOND HORIZON","IN HORIZON"))))</f>
        <v>IN HORIZON</v>
      </c>
    </row>
    <row r="207" spans="1:8" ht="22" customHeight="1">
      <c r="A207" s="1" t="str">
        <f>IF('Case calculations'!C73&lt;&gt;"OK","",'Case calculations'!A73)</f>
        <v>A-018</v>
      </c>
      <c r="B207" s="1" t="str">
        <f>IF(A207="","",'Case calculations'!B73)</f>
        <v>HEARING</v>
      </c>
      <c r="C207" s="1" t="str">
        <f>IF(A207="","","INITIAL")</f>
        <v>INITIAL</v>
      </c>
      <c r="D207" s="19">
        <f>IF(A207="","",'Case calculations'!N73)</f>
        <v>0</v>
      </c>
      <c r="E207" s="10">
        <f>IF(A207="","",Assumptions!$B$28)</f>
        <v>2000</v>
      </c>
      <c r="F207" s="10">
        <f t="shared" si="3"/>
        <v>0</v>
      </c>
      <c r="G207" s="7" t="str">
        <f>IF(A207="","",IF(D207=0,"",'Case calculations'!V73))</f>
        <v/>
      </c>
      <c r="H207" s="1" t="str">
        <f>IF(A207="","",IF(D207=0,"NO PATH",IF(G207&lt;Assumptions!$B$5,"BEFORE AS-OF",IF(G207&gt;=Assumptions!$B$7,"BEYOND HORIZON","IN HORIZON"))))</f>
        <v>NO PATH</v>
      </c>
    </row>
    <row r="208" spans="1:8" ht="22" customHeight="1">
      <c r="A208" s="1" t="str">
        <f>IF('Case calculations'!C73&lt;&gt;"OK","",'Case calculations'!A73)</f>
        <v>A-018</v>
      </c>
      <c r="B208" s="1" t="str">
        <f>IF(A208="","",'Case calculations'!B73)</f>
        <v>HEARING</v>
      </c>
      <c r="C208" s="1" t="str">
        <f>IF(A208="","","RECON")</f>
        <v>RECON</v>
      </c>
      <c r="D208" s="19">
        <f>IF(A208="","",'Case calculations'!O73)</f>
        <v>0</v>
      </c>
      <c r="E208" s="10">
        <f>IF(A208="","",Assumptions!$B$29)</f>
        <v>3000</v>
      </c>
      <c r="F208" s="10">
        <f t="shared" si="3"/>
        <v>0</v>
      </c>
      <c r="G208" s="7" t="str">
        <f>IF(A208="","",IF(D208=0,"",'Case calculations'!W73))</f>
        <v/>
      </c>
      <c r="H208" s="1" t="str">
        <f>IF(A208="","",IF(D208=0,"NO PATH",IF(G208&lt;Assumptions!$B$5,"BEFORE AS-OF",IF(G208&gt;=Assumptions!$B$7,"BEYOND HORIZON","IN HORIZON"))))</f>
        <v>NO PATH</v>
      </c>
    </row>
    <row r="209" spans="1:8" ht="22" customHeight="1">
      <c r="A209" s="1" t="str">
        <f>IF('Case calculations'!C73&lt;&gt;"OK","",'Case calculations'!A73)</f>
        <v>A-018</v>
      </c>
      <c r="B209" s="1" t="str">
        <f>IF(A209="","",'Case calculations'!B73)</f>
        <v>HEARING</v>
      </c>
      <c r="C209" s="1" t="str">
        <f>IF(A209="","","HEARING")</f>
        <v>HEARING</v>
      </c>
      <c r="D209" s="19">
        <f>IF(A209="","",'Case calculations'!S73)</f>
        <v>0.55000000000000004</v>
      </c>
      <c r="E209" s="10">
        <f>IF(A209="","",Assumptions!$B$30)</f>
        <v>4500</v>
      </c>
      <c r="F209" s="10">
        <f t="shared" si="3"/>
        <v>2475</v>
      </c>
      <c r="G209" s="7">
        <f>IF(A209="","",IF(D209=0,"",'Case calculations'!X73))</f>
        <v>46447</v>
      </c>
      <c r="H209" s="1" t="str">
        <f>IF(A209="","",IF(D209=0,"NO PATH",IF(G209&lt;Assumptions!$B$5,"BEFORE AS-OF",IF(G209&gt;=Assumptions!$B$7,"BEYOND HORIZON","IN HORIZON"))))</f>
        <v>IN HORIZON</v>
      </c>
    </row>
    <row r="210" spans="1:8" ht="22" customHeight="1">
      <c r="A210" s="1" t="str">
        <f>IF('Case calculations'!C74&lt;&gt;"OK","",'Case calculations'!A74)</f>
        <v>A-019</v>
      </c>
      <c r="B210" s="1" t="str">
        <f>IF(A210="","",'Case calculations'!B74)</f>
        <v>HEARING</v>
      </c>
      <c r="C210" s="1" t="str">
        <f>IF(A210="","","INITIAL")</f>
        <v>INITIAL</v>
      </c>
      <c r="D210" s="19">
        <f>IF(A210="","",'Case calculations'!N74)</f>
        <v>0</v>
      </c>
      <c r="E210" s="10">
        <f>IF(A210="","",Assumptions!$B$28)</f>
        <v>2000</v>
      </c>
      <c r="F210" s="10">
        <f t="shared" si="3"/>
        <v>0</v>
      </c>
      <c r="G210" s="7" t="str">
        <f>IF(A210="","",IF(D210=0,"",'Case calculations'!V74))</f>
        <v/>
      </c>
      <c r="H210" s="1" t="str">
        <f>IF(A210="","",IF(D210=0,"NO PATH",IF(G210&lt;Assumptions!$B$5,"BEFORE AS-OF",IF(G210&gt;=Assumptions!$B$7,"BEYOND HORIZON","IN HORIZON"))))</f>
        <v>NO PATH</v>
      </c>
    </row>
    <row r="211" spans="1:8" ht="22" customHeight="1">
      <c r="A211" s="1" t="str">
        <f>IF('Case calculations'!C74&lt;&gt;"OK","",'Case calculations'!A74)</f>
        <v>A-019</v>
      </c>
      <c r="B211" s="1" t="str">
        <f>IF(A211="","",'Case calculations'!B74)</f>
        <v>HEARING</v>
      </c>
      <c r="C211" s="1" t="str">
        <f>IF(A211="","","RECON")</f>
        <v>RECON</v>
      </c>
      <c r="D211" s="19">
        <f>IF(A211="","",'Case calculations'!O74)</f>
        <v>0</v>
      </c>
      <c r="E211" s="10">
        <f>IF(A211="","",Assumptions!$B$29)</f>
        <v>3000</v>
      </c>
      <c r="F211" s="10">
        <f t="shared" si="3"/>
        <v>0</v>
      </c>
      <c r="G211" s="7" t="str">
        <f>IF(A211="","",IF(D211=0,"",'Case calculations'!W74))</f>
        <v/>
      </c>
      <c r="H211" s="1" t="str">
        <f>IF(A211="","",IF(D211=0,"NO PATH",IF(G211&lt;Assumptions!$B$5,"BEFORE AS-OF",IF(G211&gt;=Assumptions!$B$7,"BEYOND HORIZON","IN HORIZON"))))</f>
        <v>NO PATH</v>
      </c>
    </row>
    <row r="212" spans="1:8" ht="22" customHeight="1">
      <c r="A212" s="1" t="str">
        <f>IF('Case calculations'!C74&lt;&gt;"OK","",'Case calculations'!A74)</f>
        <v>A-019</v>
      </c>
      <c r="B212" s="1" t="str">
        <f>IF(A212="","",'Case calculations'!B74)</f>
        <v>HEARING</v>
      </c>
      <c r="C212" s="1" t="str">
        <f>IF(A212="","","HEARING")</f>
        <v>HEARING</v>
      </c>
      <c r="D212" s="19">
        <f>IF(A212="","",'Case calculations'!S74)</f>
        <v>0.55000000000000004</v>
      </c>
      <c r="E212" s="10">
        <f>IF(A212="","",Assumptions!$B$30)</f>
        <v>4500</v>
      </c>
      <c r="F212" s="10">
        <f t="shared" si="3"/>
        <v>2475</v>
      </c>
      <c r="G212" s="7">
        <f>IF(A212="","",IF(D212=0,"",'Case calculations'!X74))</f>
        <v>46447</v>
      </c>
      <c r="H212" s="1" t="str">
        <f>IF(A212="","",IF(D212=0,"NO PATH",IF(G212&lt;Assumptions!$B$5,"BEFORE AS-OF",IF(G212&gt;=Assumptions!$B$7,"BEYOND HORIZON","IN HORIZON"))))</f>
        <v>IN HORIZON</v>
      </c>
    </row>
    <row r="213" spans="1:8" ht="22" customHeight="1">
      <c r="A213" s="1" t="str">
        <f>IF('Case calculations'!C75&lt;&gt;"OK","",'Case calculations'!A75)</f>
        <v>A-020</v>
      </c>
      <c r="B213" s="1" t="str">
        <f>IF(A213="","",'Case calculations'!B75)</f>
        <v>HEARING</v>
      </c>
      <c r="C213" s="1" t="str">
        <f>IF(A213="","","INITIAL")</f>
        <v>INITIAL</v>
      </c>
      <c r="D213" s="19">
        <f>IF(A213="","",'Case calculations'!N75)</f>
        <v>0</v>
      </c>
      <c r="E213" s="10">
        <f>IF(A213="","",Assumptions!$B$28)</f>
        <v>2000</v>
      </c>
      <c r="F213" s="10">
        <f t="shared" si="3"/>
        <v>0</v>
      </c>
      <c r="G213" s="7" t="str">
        <f>IF(A213="","",IF(D213=0,"",'Case calculations'!V75))</f>
        <v/>
      </c>
      <c r="H213" s="1" t="str">
        <f>IF(A213="","",IF(D213=0,"NO PATH",IF(G213&lt;Assumptions!$B$5,"BEFORE AS-OF",IF(G213&gt;=Assumptions!$B$7,"BEYOND HORIZON","IN HORIZON"))))</f>
        <v>NO PATH</v>
      </c>
    </row>
    <row r="214" spans="1:8" ht="22" customHeight="1">
      <c r="A214" s="1" t="str">
        <f>IF('Case calculations'!C75&lt;&gt;"OK","",'Case calculations'!A75)</f>
        <v>A-020</v>
      </c>
      <c r="B214" s="1" t="str">
        <f>IF(A214="","",'Case calculations'!B75)</f>
        <v>HEARING</v>
      </c>
      <c r="C214" s="1" t="str">
        <f>IF(A214="","","RECON")</f>
        <v>RECON</v>
      </c>
      <c r="D214" s="19">
        <f>IF(A214="","",'Case calculations'!O75)</f>
        <v>0</v>
      </c>
      <c r="E214" s="10">
        <f>IF(A214="","",Assumptions!$B$29)</f>
        <v>3000</v>
      </c>
      <c r="F214" s="10">
        <f t="shared" si="3"/>
        <v>0</v>
      </c>
      <c r="G214" s="7" t="str">
        <f>IF(A214="","",IF(D214=0,"",'Case calculations'!W75))</f>
        <v/>
      </c>
      <c r="H214" s="1" t="str">
        <f>IF(A214="","",IF(D214=0,"NO PATH",IF(G214&lt;Assumptions!$B$5,"BEFORE AS-OF",IF(G214&gt;=Assumptions!$B$7,"BEYOND HORIZON","IN HORIZON"))))</f>
        <v>NO PATH</v>
      </c>
    </row>
    <row r="215" spans="1:8" ht="22" customHeight="1">
      <c r="A215" s="1" t="str">
        <f>IF('Case calculations'!C75&lt;&gt;"OK","",'Case calculations'!A75)</f>
        <v>A-020</v>
      </c>
      <c r="B215" s="1" t="str">
        <f>IF(A215="","",'Case calculations'!B75)</f>
        <v>HEARING</v>
      </c>
      <c r="C215" s="1" t="str">
        <f>IF(A215="","","HEARING")</f>
        <v>HEARING</v>
      </c>
      <c r="D215" s="19">
        <f>IF(A215="","",'Case calculations'!S75)</f>
        <v>0.55000000000000004</v>
      </c>
      <c r="E215" s="10">
        <f>IF(A215="","",Assumptions!$B$30)</f>
        <v>4500</v>
      </c>
      <c r="F215" s="10">
        <f t="shared" si="3"/>
        <v>2475</v>
      </c>
      <c r="G215" s="7">
        <f>IF(A215="","",IF(D215=0,"",'Case calculations'!X75))</f>
        <v>46447</v>
      </c>
      <c r="H215" s="1" t="str">
        <f>IF(A215="","",IF(D215=0,"NO PATH",IF(G215&lt;Assumptions!$B$5,"BEFORE AS-OF",IF(G215&gt;=Assumptions!$B$7,"BEYOND HORIZON","IN HORIZON"))))</f>
        <v>IN HORIZON</v>
      </c>
    </row>
    <row r="216" spans="1:8" ht="22" customHeight="1">
      <c r="A216" s="1" t="str">
        <f>IF('Case calculations'!C76&lt;&gt;"OK","",'Case calculations'!A76)</f>
        <v>A-021</v>
      </c>
      <c r="B216" s="1" t="str">
        <f>IF(A216="","",'Case calculations'!B76)</f>
        <v>HEARING</v>
      </c>
      <c r="C216" s="1" t="str">
        <f>IF(A216="","","INITIAL")</f>
        <v>INITIAL</v>
      </c>
      <c r="D216" s="19">
        <f>IF(A216="","",'Case calculations'!N76)</f>
        <v>0</v>
      </c>
      <c r="E216" s="10">
        <f>IF(A216="","",Assumptions!$B$28)</f>
        <v>2000</v>
      </c>
      <c r="F216" s="10">
        <f t="shared" si="3"/>
        <v>0</v>
      </c>
      <c r="G216" s="7" t="str">
        <f>IF(A216="","",IF(D216=0,"",'Case calculations'!V76))</f>
        <v/>
      </c>
      <c r="H216" s="1" t="str">
        <f>IF(A216="","",IF(D216=0,"NO PATH",IF(G216&lt;Assumptions!$B$5,"BEFORE AS-OF",IF(G216&gt;=Assumptions!$B$7,"BEYOND HORIZON","IN HORIZON"))))</f>
        <v>NO PATH</v>
      </c>
    </row>
    <row r="217" spans="1:8" ht="22" customHeight="1">
      <c r="A217" s="1" t="str">
        <f>IF('Case calculations'!C76&lt;&gt;"OK","",'Case calculations'!A76)</f>
        <v>A-021</v>
      </c>
      <c r="B217" s="1" t="str">
        <f>IF(A217="","",'Case calculations'!B76)</f>
        <v>HEARING</v>
      </c>
      <c r="C217" s="1" t="str">
        <f>IF(A217="","","RECON")</f>
        <v>RECON</v>
      </c>
      <c r="D217" s="19">
        <f>IF(A217="","",'Case calculations'!O76)</f>
        <v>0</v>
      </c>
      <c r="E217" s="10">
        <f>IF(A217="","",Assumptions!$B$29)</f>
        <v>3000</v>
      </c>
      <c r="F217" s="10">
        <f t="shared" si="3"/>
        <v>0</v>
      </c>
      <c r="G217" s="7" t="str">
        <f>IF(A217="","",IF(D217=0,"",'Case calculations'!W76))</f>
        <v/>
      </c>
      <c r="H217" s="1" t="str">
        <f>IF(A217="","",IF(D217=0,"NO PATH",IF(G217&lt;Assumptions!$B$5,"BEFORE AS-OF",IF(G217&gt;=Assumptions!$B$7,"BEYOND HORIZON","IN HORIZON"))))</f>
        <v>NO PATH</v>
      </c>
    </row>
    <row r="218" spans="1:8" ht="22" customHeight="1">
      <c r="A218" s="1" t="str">
        <f>IF('Case calculations'!C76&lt;&gt;"OK","",'Case calculations'!A76)</f>
        <v>A-021</v>
      </c>
      <c r="B218" s="1" t="str">
        <f>IF(A218="","",'Case calculations'!B76)</f>
        <v>HEARING</v>
      </c>
      <c r="C218" s="1" t="str">
        <f>IF(A218="","","HEARING")</f>
        <v>HEARING</v>
      </c>
      <c r="D218" s="19">
        <f>IF(A218="","",'Case calculations'!S76)</f>
        <v>0.55000000000000004</v>
      </c>
      <c r="E218" s="10">
        <f>IF(A218="","",Assumptions!$B$30)</f>
        <v>4500</v>
      </c>
      <c r="F218" s="10">
        <f t="shared" si="3"/>
        <v>2475</v>
      </c>
      <c r="G218" s="7">
        <f>IF(A218="","",IF(D218=0,"",'Case calculations'!X76))</f>
        <v>46478</v>
      </c>
      <c r="H218" s="1" t="str">
        <f>IF(A218="","",IF(D218=0,"NO PATH",IF(G218&lt;Assumptions!$B$5,"BEFORE AS-OF",IF(G218&gt;=Assumptions!$B$7,"BEYOND HORIZON","IN HORIZON"))))</f>
        <v>IN HORIZON</v>
      </c>
    </row>
    <row r="219" spans="1:8" ht="22" customHeight="1">
      <c r="A219" s="1" t="str">
        <f>IF('Case calculations'!C77&lt;&gt;"OK","",'Case calculations'!A77)</f>
        <v>A-022</v>
      </c>
      <c r="B219" s="1" t="str">
        <f>IF(A219="","",'Case calculations'!B77)</f>
        <v>HEARING</v>
      </c>
      <c r="C219" s="1" t="str">
        <f>IF(A219="","","INITIAL")</f>
        <v>INITIAL</v>
      </c>
      <c r="D219" s="19">
        <f>IF(A219="","",'Case calculations'!N77)</f>
        <v>0</v>
      </c>
      <c r="E219" s="10">
        <f>IF(A219="","",Assumptions!$B$28)</f>
        <v>2000</v>
      </c>
      <c r="F219" s="10">
        <f t="shared" si="3"/>
        <v>0</v>
      </c>
      <c r="G219" s="7" t="str">
        <f>IF(A219="","",IF(D219=0,"",'Case calculations'!V77))</f>
        <v/>
      </c>
      <c r="H219" s="1" t="str">
        <f>IF(A219="","",IF(D219=0,"NO PATH",IF(G219&lt;Assumptions!$B$5,"BEFORE AS-OF",IF(G219&gt;=Assumptions!$B$7,"BEYOND HORIZON","IN HORIZON"))))</f>
        <v>NO PATH</v>
      </c>
    </row>
    <row r="220" spans="1:8" ht="22" customHeight="1">
      <c r="A220" s="1" t="str">
        <f>IF('Case calculations'!C77&lt;&gt;"OK","",'Case calculations'!A77)</f>
        <v>A-022</v>
      </c>
      <c r="B220" s="1" t="str">
        <f>IF(A220="","",'Case calculations'!B77)</f>
        <v>HEARING</v>
      </c>
      <c r="C220" s="1" t="str">
        <f>IF(A220="","","RECON")</f>
        <v>RECON</v>
      </c>
      <c r="D220" s="19">
        <f>IF(A220="","",'Case calculations'!O77)</f>
        <v>0</v>
      </c>
      <c r="E220" s="10">
        <f>IF(A220="","",Assumptions!$B$29)</f>
        <v>3000</v>
      </c>
      <c r="F220" s="10">
        <f t="shared" si="3"/>
        <v>0</v>
      </c>
      <c r="G220" s="7" t="str">
        <f>IF(A220="","",IF(D220=0,"",'Case calculations'!W77))</f>
        <v/>
      </c>
      <c r="H220" s="1" t="str">
        <f>IF(A220="","",IF(D220=0,"NO PATH",IF(G220&lt;Assumptions!$B$5,"BEFORE AS-OF",IF(G220&gt;=Assumptions!$B$7,"BEYOND HORIZON","IN HORIZON"))))</f>
        <v>NO PATH</v>
      </c>
    </row>
    <row r="221" spans="1:8" ht="22" customHeight="1">
      <c r="A221" s="1" t="str">
        <f>IF('Case calculations'!C77&lt;&gt;"OK","",'Case calculations'!A77)</f>
        <v>A-022</v>
      </c>
      <c r="B221" s="1" t="str">
        <f>IF(A221="","",'Case calculations'!B77)</f>
        <v>HEARING</v>
      </c>
      <c r="C221" s="1" t="str">
        <f>IF(A221="","","HEARING")</f>
        <v>HEARING</v>
      </c>
      <c r="D221" s="19">
        <f>IF(A221="","",'Case calculations'!S77)</f>
        <v>0.55000000000000004</v>
      </c>
      <c r="E221" s="10">
        <f>IF(A221="","",Assumptions!$B$30)</f>
        <v>4500</v>
      </c>
      <c r="F221" s="10">
        <f t="shared" si="3"/>
        <v>2475</v>
      </c>
      <c r="G221" s="7">
        <f>IF(A221="","",IF(D221=0,"",'Case calculations'!X77))</f>
        <v>46478</v>
      </c>
      <c r="H221" s="1" t="str">
        <f>IF(A221="","",IF(D221=0,"NO PATH",IF(G221&lt;Assumptions!$B$5,"BEFORE AS-OF",IF(G221&gt;=Assumptions!$B$7,"BEYOND HORIZON","IN HORIZON"))))</f>
        <v>IN HORIZON</v>
      </c>
    </row>
    <row r="222" spans="1:8" ht="22" customHeight="1">
      <c r="A222" s="1" t="str">
        <f>IF('Case calculations'!C78&lt;&gt;"OK","",'Case calculations'!A78)</f>
        <v>A-023</v>
      </c>
      <c r="B222" s="1" t="str">
        <f>IF(A222="","",'Case calculations'!B78)</f>
        <v>HEARING</v>
      </c>
      <c r="C222" s="1" t="str">
        <f>IF(A222="","","INITIAL")</f>
        <v>INITIAL</v>
      </c>
      <c r="D222" s="19">
        <f>IF(A222="","",'Case calculations'!N78)</f>
        <v>0</v>
      </c>
      <c r="E222" s="10">
        <f>IF(A222="","",Assumptions!$B$28)</f>
        <v>2000</v>
      </c>
      <c r="F222" s="10">
        <f t="shared" si="3"/>
        <v>0</v>
      </c>
      <c r="G222" s="7" t="str">
        <f>IF(A222="","",IF(D222=0,"",'Case calculations'!V78))</f>
        <v/>
      </c>
      <c r="H222" s="1" t="str">
        <f>IF(A222="","",IF(D222=0,"NO PATH",IF(G222&lt;Assumptions!$B$5,"BEFORE AS-OF",IF(G222&gt;=Assumptions!$B$7,"BEYOND HORIZON","IN HORIZON"))))</f>
        <v>NO PATH</v>
      </c>
    </row>
    <row r="223" spans="1:8" ht="22" customHeight="1">
      <c r="A223" s="1" t="str">
        <f>IF('Case calculations'!C78&lt;&gt;"OK","",'Case calculations'!A78)</f>
        <v>A-023</v>
      </c>
      <c r="B223" s="1" t="str">
        <f>IF(A223="","",'Case calculations'!B78)</f>
        <v>HEARING</v>
      </c>
      <c r="C223" s="1" t="str">
        <f>IF(A223="","","RECON")</f>
        <v>RECON</v>
      </c>
      <c r="D223" s="19">
        <f>IF(A223="","",'Case calculations'!O78)</f>
        <v>0</v>
      </c>
      <c r="E223" s="10">
        <f>IF(A223="","",Assumptions!$B$29)</f>
        <v>3000</v>
      </c>
      <c r="F223" s="10">
        <f t="shared" si="3"/>
        <v>0</v>
      </c>
      <c r="G223" s="7" t="str">
        <f>IF(A223="","",IF(D223=0,"",'Case calculations'!W78))</f>
        <v/>
      </c>
      <c r="H223" s="1" t="str">
        <f>IF(A223="","",IF(D223=0,"NO PATH",IF(G223&lt;Assumptions!$B$5,"BEFORE AS-OF",IF(G223&gt;=Assumptions!$B$7,"BEYOND HORIZON","IN HORIZON"))))</f>
        <v>NO PATH</v>
      </c>
    </row>
    <row r="224" spans="1:8" ht="22" customHeight="1">
      <c r="A224" s="1" t="str">
        <f>IF('Case calculations'!C78&lt;&gt;"OK","",'Case calculations'!A78)</f>
        <v>A-023</v>
      </c>
      <c r="B224" s="1" t="str">
        <f>IF(A224="","",'Case calculations'!B78)</f>
        <v>HEARING</v>
      </c>
      <c r="C224" s="1" t="str">
        <f>IF(A224="","","HEARING")</f>
        <v>HEARING</v>
      </c>
      <c r="D224" s="19">
        <f>IF(A224="","",'Case calculations'!S78)</f>
        <v>0.55000000000000004</v>
      </c>
      <c r="E224" s="10">
        <f>IF(A224="","",Assumptions!$B$30)</f>
        <v>4500</v>
      </c>
      <c r="F224" s="10">
        <f t="shared" si="3"/>
        <v>2475</v>
      </c>
      <c r="G224" s="7">
        <f>IF(A224="","",IF(D224=0,"",'Case calculations'!X78))</f>
        <v>46478</v>
      </c>
      <c r="H224" s="1" t="str">
        <f>IF(A224="","",IF(D224=0,"NO PATH",IF(G224&lt;Assumptions!$B$5,"BEFORE AS-OF",IF(G224&gt;=Assumptions!$B$7,"BEYOND HORIZON","IN HORIZON"))))</f>
        <v>IN HORIZON</v>
      </c>
    </row>
    <row r="225" spans="1:8" ht="22" customHeight="1">
      <c r="A225" s="1" t="str">
        <f>IF('Case calculations'!C79&lt;&gt;"OK","",'Case calculations'!A79)</f>
        <v>A-024</v>
      </c>
      <c r="B225" s="1" t="str">
        <f>IF(A225="","",'Case calculations'!B79)</f>
        <v>HEARING</v>
      </c>
      <c r="C225" s="1" t="str">
        <f>IF(A225="","","INITIAL")</f>
        <v>INITIAL</v>
      </c>
      <c r="D225" s="19">
        <f>IF(A225="","",'Case calculations'!N79)</f>
        <v>0</v>
      </c>
      <c r="E225" s="10">
        <f>IF(A225="","",Assumptions!$B$28)</f>
        <v>2000</v>
      </c>
      <c r="F225" s="10">
        <f t="shared" si="3"/>
        <v>0</v>
      </c>
      <c r="G225" s="7" t="str">
        <f>IF(A225="","",IF(D225=0,"",'Case calculations'!V79))</f>
        <v/>
      </c>
      <c r="H225" s="1" t="str">
        <f>IF(A225="","",IF(D225=0,"NO PATH",IF(G225&lt;Assumptions!$B$5,"BEFORE AS-OF",IF(G225&gt;=Assumptions!$B$7,"BEYOND HORIZON","IN HORIZON"))))</f>
        <v>NO PATH</v>
      </c>
    </row>
    <row r="226" spans="1:8" ht="22" customHeight="1">
      <c r="A226" s="1" t="str">
        <f>IF('Case calculations'!C79&lt;&gt;"OK","",'Case calculations'!A79)</f>
        <v>A-024</v>
      </c>
      <c r="B226" s="1" t="str">
        <f>IF(A226="","",'Case calculations'!B79)</f>
        <v>HEARING</v>
      </c>
      <c r="C226" s="1" t="str">
        <f>IF(A226="","","RECON")</f>
        <v>RECON</v>
      </c>
      <c r="D226" s="19">
        <f>IF(A226="","",'Case calculations'!O79)</f>
        <v>0</v>
      </c>
      <c r="E226" s="10">
        <f>IF(A226="","",Assumptions!$B$29)</f>
        <v>3000</v>
      </c>
      <c r="F226" s="10">
        <f t="shared" si="3"/>
        <v>0</v>
      </c>
      <c r="G226" s="7" t="str">
        <f>IF(A226="","",IF(D226=0,"",'Case calculations'!W79))</f>
        <v/>
      </c>
      <c r="H226" s="1" t="str">
        <f>IF(A226="","",IF(D226=0,"NO PATH",IF(G226&lt;Assumptions!$B$5,"BEFORE AS-OF",IF(G226&gt;=Assumptions!$B$7,"BEYOND HORIZON","IN HORIZON"))))</f>
        <v>NO PATH</v>
      </c>
    </row>
    <row r="227" spans="1:8" ht="22" customHeight="1">
      <c r="A227" s="1" t="str">
        <f>IF('Case calculations'!C79&lt;&gt;"OK","",'Case calculations'!A79)</f>
        <v>A-024</v>
      </c>
      <c r="B227" s="1" t="str">
        <f>IF(A227="","",'Case calculations'!B79)</f>
        <v>HEARING</v>
      </c>
      <c r="C227" s="1" t="str">
        <f>IF(A227="","","HEARING")</f>
        <v>HEARING</v>
      </c>
      <c r="D227" s="19">
        <f>IF(A227="","",'Case calculations'!S79)</f>
        <v>0.55000000000000004</v>
      </c>
      <c r="E227" s="10">
        <f>IF(A227="","",Assumptions!$B$30)</f>
        <v>4500</v>
      </c>
      <c r="F227" s="10">
        <f t="shared" si="3"/>
        <v>2475</v>
      </c>
      <c r="G227" s="7">
        <f>IF(A227="","",IF(D227=0,"",'Case calculations'!X79))</f>
        <v>46478</v>
      </c>
      <c r="H227" s="1" t="str">
        <f>IF(A227="","",IF(D227=0,"NO PATH",IF(G227&lt;Assumptions!$B$5,"BEFORE AS-OF",IF(G227&gt;=Assumptions!$B$7,"BEYOND HORIZON","IN HORIZON"))))</f>
        <v>IN HORIZON</v>
      </c>
    </row>
    <row r="228" spans="1:8" ht="22" customHeight="1">
      <c r="A228" s="1" t="str">
        <f>IF('Case calculations'!C80&lt;&gt;"OK","",'Case calculations'!A80)</f>
        <v>A-025</v>
      </c>
      <c r="B228" s="1" t="str">
        <f>IF(A228="","",'Case calculations'!B80)</f>
        <v>HEARING</v>
      </c>
      <c r="C228" s="1" t="str">
        <f>IF(A228="","","INITIAL")</f>
        <v>INITIAL</v>
      </c>
      <c r="D228" s="19">
        <f>IF(A228="","",'Case calculations'!N80)</f>
        <v>0</v>
      </c>
      <c r="E228" s="10">
        <f>IF(A228="","",Assumptions!$B$28)</f>
        <v>2000</v>
      </c>
      <c r="F228" s="10">
        <f t="shared" si="3"/>
        <v>0</v>
      </c>
      <c r="G228" s="7" t="str">
        <f>IF(A228="","",IF(D228=0,"",'Case calculations'!V80))</f>
        <v/>
      </c>
      <c r="H228" s="1" t="str">
        <f>IF(A228="","",IF(D228=0,"NO PATH",IF(G228&lt;Assumptions!$B$5,"BEFORE AS-OF",IF(G228&gt;=Assumptions!$B$7,"BEYOND HORIZON","IN HORIZON"))))</f>
        <v>NO PATH</v>
      </c>
    </row>
    <row r="229" spans="1:8" ht="22" customHeight="1">
      <c r="A229" s="1" t="str">
        <f>IF('Case calculations'!C80&lt;&gt;"OK","",'Case calculations'!A80)</f>
        <v>A-025</v>
      </c>
      <c r="B229" s="1" t="str">
        <f>IF(A229="","",'Case calculations'!B80)</f>
        <v>HEARING</v>
      </c>
      <c r="C229" s="1" t="str">
        <f>IF(A229="","","RECON")</f>
        <v>RECON</v>
      </c>
      <c r="D229" s="19">
        <f>IF(A229="","",'Case calculations'!O80)</f>
        <v>0</v>
      </c>
      <c r="E229" s="10">
        <f>IF(A229="","",Assumptions!$B$29)</f>
        <v>3000</v>
      </c>
      <c r="F229" s="10">
        <f t="shared" si="3"/>
        <v>0</v>
      </c>
      <c r="G229" s="7" t="str">
        <f>IF(A229="","",IF(D229=0,"",'Case calculations'!W80))</f>
        <v/>
      </c>
      <c r="H229" s="1" t="str">
        <f>IF(A229="","",IF(D229=0,"NO PATH",IF(G229&lt;Assumptions!$B$5,"BEFORE AS-OF",IF(G229&gt;=Assumptions!$B$7,"BEYOND HORIZON","IN HORIZON"))))</f>
        <v>NO PATH</v>
      </c>
    </row>
    <row r="230" spans="1:8" ht="22" customHeight="1">
      <c r="A230" s="1" t="str">
        <f>IF('Case calculations'!C80&lt;&gt;"OK","",'Case calculations'!A80)</f>
        <v>A-025</v>
      </c>
      <c r="B230" s="1" t="str">
        <f>IF(A230="","",'Case calculations'!B80)</f>
        <v>HEARING</v>
      </c>
      <c r="C230" s="1" t="str">
        <f>IF(A230="","","HEARING")</f>
        <v>HEARING</v>
      </c>
      <c r="D230" s="19">
        <f>IF(A230="","",'Case calculations'!S80)</f>
        <v>0.55000000000000004</v>
      </c>
      <c r="E230" s="10">
        <f>IF(A230="","",Assumptions!$B$30)</f>
        <v>4500</v>
      </c>
      <c r="F230" s="10">
        <f t="shared" si="3"/>
        <v>2475</v>
      </c>
      <c r="G230" s="7">
        <f>IF(A230="","",IF(D230=0,"",'Case calculations'!X80))</f>
        <v>46478</v>
      </c>
      <c r="H230" s="1" t="str">
        <f>IF(A230="","",IF(D230=0,"NO PATH",IF(G230&lt;Assumptions!$B$5,"BEFORE AS-OF",IF(G230&gt;=Assumptions!$B$7,"BEYOND HORIZON","IN HORIZON"))))</f>
        <v>IN HORIZON</v>
      </c>
    </row>
    <row r="231" spans="1:8" ht="22" customHeight="1">
      <c r="A231" s="1" t="str">
        <f>IF('Case calculations'!C81&lt;&gt;"OK","",'Case calculations'!A81)</f>
        <v>A-026</v>
      </c>
      <c r="B231" s="1" t="str">
        <f>IF(A231="","",'Case calculations'!B81)</f>
        <v>HEARING</v>
      </c>
      <c r="C231" s="1" t="str">
        <f>IF(A231="","","INITIAL")</f>
        <v>INITIAL</v>
      </c>
      <c r="D231" s="19">
        <f>IF(A231="","",'Case calculations'!N81)</f>
        <v>0</v>
      </c>
      <c r="E231" s="10">
        <f>IF(A231="","",Assumptions!$B$28)</f>
        <v>2000</v>
      </c>
      <c r="F231" s="10">
        <f t="shared" si="3"/>
        <v>0</v>
      </c>
      <c r="G231" s="7" t="str">
        <f>IF(A231="","",IF(D231=0,"",'Case calculations'!V81))</f>
        <v/>
      </c>
      <c r="H231" s="1" t="str">
        <f>IF(A231="","",IF(D231=0,"NO PATH",IF(G231&lt;Assumptions!$B$5,"BEFORE AS-OF",IF(G231&gt;=Assumptions!$B$7,"BEYOND HORIZON","IN HORIZON"))))</f>
        <v>NO PATH</v>
      </c>
    </row>
    <row r="232" spans="1:8" ht="22" customHeight="1">
      <c r="A232" s="1" t="str">
        <f>IF('Case calculations'!C81&lt;&gt;"OK","",'Case calculations'!A81)</f>
        <v>A-026</v>
      </c>
      <c r="B232" s="1" t="str">
        <f>IF(A232="","",'Case calculations'!B81)</f>
        <v>HEARING</v>
      </c>
      <c r="C232" s="1" t="str">
        <f>IF(A232="","","RECON")</f>
        <v>RECON</v>
      </c>
      <c r="D232" s="19">
        <f>IF(A232="","",'Case calculations'!O81)</f>
        <v>0</v>
      </c>
      <c r="E232" s="10">
        <f>IF(A232="","",Assumptions!$B$29)</f>
        <v>3000</v>
      </c>
      <c r="F232" s="10">
        <f t="shared" si="3"/>
        <v>0</v>
      </c>
      <c r="G232" s="7" t="str">
        <f>IF(A232="","",IF(D232=0,"",'Case calculations'!W81))</f>
        <v/>
      </c>
      <c r="H232" s="1" t="str">
        <f>IF(A232="","",IF(D232=0,"NO PATH",IF(G232&lt;Assumptions!$B$5,"BEFORE AS-OF",IF(G232&gt;=Assumptions!$B$7,"BEYOND HORIZON","IN HORIZON"))))</f>
        <v>NO PATH</v>
      </c>
    </row>
    <row r="233" spans="1:8" ht="22" customHeight="1">
      <c r="A233" s="1" t="str">
        <f>IF('Case calculations'!C81&lt;&gt;"OK","",'Case calculations'!A81)</f>
        <v>A-026</v>
      </c>
      <c r="B233" s="1" t="str">
        <f>IF(A233="","",'Case calculations'!B81)</f>
        <v>HEARING</v>
      </c>
      <c r="C233" s="1" t="str">
        <f>IF(A233="","","HEARING")</f>
        <v>HEARING</v>
      </c>
      <c r="D233" s="19">
        <f>IF(A233="","",'Case calculations'!S81)</f>
        <v>0.55000000000000004</v>
      </c>
      <c r="E233" s="10">
        <f>IF(A233="","",Assumptions!$B$30)</f>
        <v>4500</v>
      </c>
      <c r="F233" s="10">
        <f t="shared" si="3"/>
        <v>2475</v>
      </c>
      <c r="G233" s="7">
        <f>IF(A233="","",IF(D233=0,"",'Case calculations'!X81))</f>
        <v>46478</v>
      </c>
      <c r="H233" s="1" t="str">
        <f>IF(A233="","",IF(D233=0,"NO PATH",IF(G233&lt;Assumptions!$B$5,"BEFORE AS-OF",IF(G233&gt;=Assumptions!$B$7,"BEYOND HORIZON","IN HORIZON"))))</f>
        <v>IN HORIZON</v>
      </c>
    </row>
    <row r="234" spans="1:8" ht="22" customHeight="1">
      <c r="A234" s="1" t="str">
        <f>IF('Case calculations'!C82&lt;&gt;"OK","",'Case calculations'!A82)</f>
        <v>A-027</v>
      </c>
      <c r="B234" s="1" t="str">
        <f>IF(A234="","",'Case calculations'!B82)</f>
        <v>HEARING</v>
      </c>
      <c r="C234" s="1" t="str">
        <f>IF(A234="","","INITIAL")</f>
        <v>INITIAL</v>
      </c>
      <c r="D234" s="19">
        <f>IF(A234="","",'Case calculations'!N82)</f>
        <v>0</v>
      </c>
      <c r="E234" s="10">
        <f>IF(A234="","",Assumptions!$B$28)</f>
        <v>2000</v>
      </c>
      <c r="F234" s="10">
        <f t="shared" si="3"/>
        <v>0</v>
      </c>
      <c r="G234" s="7" t="str">
        <f>IF(A234="","",IF(D234=0,"",'Case calculations'!V82))</f>
        <v/>
      </c>
      <c r="H234" s="1" t="str">
        <f>IF(A234="","",IF(D234=0,"NO PATH",IF(G234&lt;Assumptions!$B$5,"BEFORE AS-OF",IF(G234&gt;=Assumptions!$B$7,"BEYOND HORIZON","IN HORIZON"))))</f>
        <v>NO PATH</v>
      </c>
    </row>
    <row r="235" spans="1:8" ht="22" customHeight="1">
      <c r="A235" s="1" t="str">
        <f>IF('Case calculations'!C82&lt;&gt;"OK","",'Case calculations'!A82)</f>
        <v>A-027</v>
      </c>
      <c r="B235" s="1" t="str">
        <f>IF(A235="","",'Case calculations'!B82)</f>
        <v>HEARING</v>
      </c>
      <c r="C235" s="1" t="str">
        <f>IF(A235="","","RECON")</f>
        <v>RECON</v>
      </c>
      <c r="D235" s="19">
        <f>IF(A235="","",'Case calculations'!O82)</f>
        <v>0</v>
      </c>
      <c r="E235" s="10">
        <f>IF(A235="","",Assumptions!$B$29)</f>
        <v>3000</v>
      </c>
      <c r="F235" s="10">
        <f t="shared" si="3"/>
        <v>0</v>
      </c>
      <c r="G235" s="7" t="str">
        <f>IF(A235="","",IF(D235=0,"",'Case calculations'!W82))</f>
        <v/>
      </c>
      <c r="H235" s="1" t="str">
        <f>IF(A235="","",IF(D235=0,"NO PATH",IF(G235&lt;Assumptions!$B$5,"BEFORE AS-OF",IF(G235&gt;=Assumptions!$B$7,"BEYOND HORIZON","IN HORIZON"))))</f>
        <v>NO PATH</v>
      </c>
    </row>
    <row r="236" spans="1:8" ht="22" customHeight="1">
      <c r="A236" s="1" t="str">
        <f>IF('Case calculations'!C82&lt;&gt;"OK","",'Case calculations'!A82)</f>
        <v>A-027</v>
      </c>
      <c r="B236" s="1" t="str">
        <f>IF(A236="","",'Case calculations'!B82)</f>
        <v>HEARING</v>
      </c>
      <c r="C236" s="1" t="str">
        <f>IF(A236="","","HEARING")</f>
        <v>HEARING</v>
      </c>
      <c r="D236" s="19">
        <f>IF(A236="","",'Case calculations'!S82)</f>
        <v>0.55000000000000004</v>
      </c>
      <c r="E236" s="10">
        <f>IF(A236="","",Assumptions!$B$30)</f>
        <v>4500</v>
      </c>
      <c r="F236" s="10">
        <f t="shared" si="3"/>
        <v>2475</v>
      </c>
      <c r="G236" s="7">
        <f>IF(A236="","",IF(D236=0,"",'Case calculations'!X82))</f>
        <v>46478</v>
      </c>
      <c r="H236" s="1" t="str">
        <f>IF(A236="","",IF(D236=0,"NO PATH",IF(G236&lt;Assumptions!$B$5,"BEFORE AS-OF",IF(G236&gt;=Assumptions!$B$7,"BEYOND HORIZON","IN HORIZON"))))</f>
        <v>IN HORIZON</v>
      </c>
    </row>
    <row r="237" spans="1:8" ht="22" customHeight="1">
      <c r="A237" s="1" t="str">
        <f>IF('Case calculations'!C83&lt;&gt;"OK","",'Case calculations'!A83)</f>
        <v>A-028</v>
      </c>
      <c r="B237" s="1" t="str">
        <f>IF(A237="","",'Case calculations'!B83)</f>
        <v>HEARING</v>
      </c>
      <c r="C237" s="1" t="str">
        <f>IF(A237="","","INITIAL")</f>
        <v>INITIAL</v>
      </c>
      <c r="D237" s="19">
        <f>IF(A237="","",'Case calculations'!N83)</f>
        <v>0</v>
      </c>
      <c r="E237" s="10">
        <f>IF(A237="","",Assumptions!$B$28)</f>
        <v>2000</v>
      </c>
      <c r="F237" s="10">
        <f t="shared" si="3"/>
        <v>0</v>
      </c>
      <c r="G237" s="7" t="str">
        <f>IF(A237="","",IF(D237=0,"",'Case calculations'!V83))</f>
        <v/>
      </c>
      <c r="H237" s="1" t="str">
        <f>IF(A237="","",IF(D237=0,"NO PATH",IF(G237&lt;Assumptions!$B$5,"BEFORE AS-OF",IF(G237&gt;=Assumptions!$B$7,"BEYOND HORIZON","IN HORIZON"))))</f>
        <v>NO PATH</v>
      </c>
    </row>
    <row r="238" spans="1:8" ht="22" customHeight="1">
      <c r="A238" s="1" t="str">
        <f>IF('Case calculations'!C83&lt;&gt;"OK","",'Case calculations'!A83)</f>
        <v>A-028</v>
      </c>
      <c r="B238" s="1" t="str">
        <f>IF(A238="","",'Case calculations'!B83)</f>
        <v>HEARING</v>
      </c>
      <c r="C238" s="1" t="str">
        <f>IF(A238="","","RECON")</f>
        <v>RECON</v>
      </c>
      <c r="D238" s="19">
        <f>IF(A238="","",'Case calculations'!O83)</f>
        <v>0</v>
      </c>
      <c r="E238" s="10">
        <f>IF(A238="","",Assumptions!$B$29)</f>
        <v>3000</v>
      </c>
      <c r="F238" s="10">
        <f t="shared" si="3"/>
        <v>0</v>
      </c>
      <c r="G238" s="7" t="str">
        <f>IF(A238="","",IF(D238=0,"",'Case calculations'!W83))</f>
        <v/>
      </c>
      <c r="H238" s="1" t="str">
        <f>IF(A238="","",IF(D238=0,"NO PATH",IF(G238&lt;Assumptions!$B$5,"BEFORE AS-OF",IF(G238&gt;=Assumptions!$B$7,"BEYOND HORIZON","IN HORIZON"))))</f>
        <v>NO PATH</v>
      </c>
    </row>
    <row r="239" spans="1:8" ht="22" customHeight="1">
      <c r="A239" s="1" t="str">
        <f>IF('Case calculations'!C83&lt;&gt;"OK","",'Case calculations'!A83)</f>
        <v>A-028</v>
      </c>
      <c r="B239" s="1" t="str">
        <f>IF(A239="","",'Case calculations'!B83)</f>
        <v>HEARING</v>
      </c>
      <c r="C239" s="1" t="str">
        <f>IF(A239="","","HEARING")</f>
        <v>HEARING</v>
      </c>
      <c r="D239" s="19">
        <f>IF(A239="","",'Case calculations'!S83)</f>
        <v>0.55000000000000004</v>
      </c>
      <c r="E239" s="10">
        <f>IF(A239="","",Assumptions!$B$30)</f>
        <v>4500</v>
      </c>
      <c r="F239" s="10">
        <f t="shared" si="3"/>
        <v>2475</v>
      </c>
      <c r="G239" s="7">
        <f>IF(A239="","",IF(D239=0,"",'Case calculations'!X83))</f>
        <v>46478</v>
      </c>
      <c r="H239" s="1" t="str">
        <f>IF(A239="","",IF(D239=0,"NO PATH",IF(G239&lt;Assumptions!$B$5,"BEFORE AS-OF",IF(G239&gt;=Assumptions!$B$7,"BEYOND HORIZON","IN HORIZON"))))</f>
        <v>IN HORIZON</v>
      </c>
    </row>
    <row r="240" spans="1:8" ht="22" customHeight="1">
      <c r="A240" s="1" t="str">
        <f>IF('Case calculations'!C84&lt;&gt;"OK","",'Case calculations'!A84)</f>
        <v>A-029</v>
      </c>
      <c r="B240" s="1" t="str">
        <f>IF(A240="","",'Case calculations'!B84)</f>
        <v>HEARING</v>
      </c>
      <c r="C240" s="1" t="str">
        <f>IF(A240="","","INITIAL")</f>
        <v>INITIAL</v>
      </c>
      <c r="D240" s="19">
        <f>IF(A240="","",'Case calculations'!N84)</f>
        <v>0</v>
      </c>
      <c r="E240" s="10">
        <f>IF(A240="","",Assumptions!$B$28)</f>
        <v>2000</v>
      </c>
      <c r="F240" s="10">
        <f t="shared" si="3"/>
        <v>0</v>
      </c>
      <c r="G240" s="7" t="str">
        <f>IF(A240="","",IF(D240=0,"",'Case calculations'!V84))</f>
        <v/>
      </c>
      <c r="H240" s="1" t="str">
        <f>IF(A240="","",IF(D240=0,"NO PATH",IF(G240&lt;Assumptions!$B$5,"BEFORE AS-OF",IF(G240&gt;=Assumptions!$B$7,"BEYOND HORIZON","IN HORIZON"))))</f>
        <v>NO PATH</v>
      </c>
    </row>
    <row r="241" spans="1:8" ht="22" customHeight="1">
      <c r="A241" s="1" t="str">
        <f>IF('Case calculations'!C84&lt;&gt;"OK","",'Case calculations'!A84)</f>
        <v>A-029</v>
      </c>
      <c r="B241" s="1" t="str">
        <f>IF(A241="","",'Case calculations'!B84)</f>
        <v>HEARING</v>
      </c>
      <c r="C241" s="1" t="str">
        <f>IF(A241="","","RECON")</f>
        <v>RECON</v>
      </c>
      <c r="D241" s="19">
        <f>IF(A241="","",'Case calculations'!O84)</f>
        <v>0</v>
      </c>
      <c r="E241" s="10">
        <f>IF(A241="","",Assumptions!$B$29)</f>
        <v>3000</v>
      </c>
      <c r="F241" s="10">
        <f t="shared" si="3"/>
        <v>0</v>
      </c>
      <c r="G241" s="7" t="str">
        <f>IF(A241="","",IF(D241=0,"",'Case calculations'!W84))</f>
        <v/>
      </c>
      <c r="H241" s="1" t="str">
        <f>IF(A241="","",IF(D241=0,"NO PATH",IF(G241&lt;Assumptions!$B$5,"BEFORE AS-OF",IF(G241&gt;=Assumptions!$B$7,"BEYOND HORIZON","IN HORIZON"))))</f>
        <v>NO PATH</v>
      </c>
    </row>
    <row r="242" spans="1:8" ht="22" customHeight="1">
      <c r="A242" s="1" t="str">
        <f>IF('Case calculations'!C84&lt;&gt;"OK","",'Case calculations'!A84)</f>
        <v>A-029</v>
      </c>
      <c r="B242" s="1" t="str">
        <f>IF(A242="","",'Case calculations'!B84)</f>
        <v>HEARING</v>
      </c>
      <c r="C242" s="1" t="str">
        <f>IF(A242="","","HEARING")</f>
        <v>HEARING</v>
      </c>
      <c r="D242" s="19">
        <f>IF(A242="","",'Case calculations'!S84)</f>
        <v>0.55000000000000004</v>
      </c>
      <c r="E242" s="10">
        <f>IF(A242="","",Assumptions!$B$30)</f>
        <v>4500</v>
      </c>
      <c r="F242" s="10">
        <f t="shared" si="3"/>
        <v>2475</v>
      </c>
      <c r="G242" s="7">
        <f>IF(A242="","",IF(D242=0,"",'Case calculations'!X84))</f>
        <v>46478</v>
      </c>
      <c r="H242" s="1" t="str">
        <f>IF(A242="","",IF(D242=0,"NO PATH",IF(G242&lt;Assumptions!$B$5,"BEFORE AS-OF",IF(G242&gt;=Assumptions!$B$7,"BEYOND HORIZON","IN HORIZON"))))</f>
        <v>IN HORIZON</v>
      </c>
    </row>
    <row r="243" spans="1:8" ht="22" customHeight="1">
      <c r="A243" s="1" t="str">
        <f>IF('Case calculations'!C85&lt;&gt;"OK","",'Case calculations'!A85)</f>
        <v>A-030</v>
      </c>
      <c r="B243" s="1" t="str">
        <f>IF(A243="","",'Case calculations'!B85)</f>
        <v>HEARING</v>
      </c>
      <c r="C243" s="1" t="str">
        <f>IF(A243="","","INITIAL")</f>
        <v>INITIAL</v>
      </c>
      <c r="D243" s="19">
        <f>IF(A243="","",'Case calculations'!N85)</f>
        <v>0</v>
      </c>
      <c r="E243" s="10">
        <f>IF(A243="","",Assumptions!$B$28)</f>
        <v>2000</v>
      </c>
      <c r="F243" s="10">
        <f t="shared" si="3"/>
        <v>0</v>
      </c>
      <c r="G243" s="7" t="str">
        <f>IF(A243="","",IF(D243=0,"",'Case calculations'!V85))</f>
        <v/>
      </c>
      <c r="H243" s="1" t="str">
        <f>IF(A243="","",IF(D243=0,"NO PATH",IF(G243&lt;Assumptions!$B$5,"BEFORE AS-OF",IF(G243&gt;=Assumptions!$B$7,"BEYOND HORIZON","IN HORIZON"))))</f>
        <v>NO PATH</v>
      </c>
    </row>
    <row r="244" spans="1:8" ht="22" customHeight="1">
      <c r="A244" s="1" t="str">
        <f>IF('Case calculations'!C85&lt;&gt;"OK","",'Case calculations'!A85)</f>
        <v>A-030</v>
      </c>
      <c r="B244" s="1" t="str">
        <f>IF(A244="","",'Case calculations'!B85)</f>
        <v>HEARING</v>
      </c>
      <c r="C244" s="1" t="str">
        <f>IF(A244="","","RECON")</f>
        <v>RECON</v>
      </c>
      <c r="D244" s="19">
        <f>IF(A244="","",'Case calculations'!O85)</f>
        <v>0</v>
      </c>
      <c r="E244" s="10">
        <f>IF(A244="","",Assumptions!$B$29)</f>
        <v>3000</v>
      </c>
      <c r="F244" s="10">
        <f t="shared" si="3"/>
        <v>0</v>
      </c>
      <c r="G244" s="7" t="str">
        <f>IF(A244="","",IF(D244=0,"",'Case calculations'!W85))</f>
        <v/>
      </c>
      <c r="H244" s="1" t="str">
        <f>IF(A244="","",IF(D244=0,"NO PATH",IF(G244&lt;Assumptions!$B$5,"BEFORE AS-OF",IF(G244&gt;=Assumptions!$B$7,"BEYOND HORIZON","IN HORIZON"))))</f>
        <v>NO PATH</v>
      </c>
    </row>
    <row r="245" spans="1:8" ht="22" customHeight="1">
      <c r="A245" s="1" t="str">
        <f>IF('Case calculations'!C85&lt;&gt;"OK","",'Case calculations'!A85)</f>
        <v>A-030</v>
      </c>
      <c r="B245" s="1" t="str">
        <f>IF(A245="","",'Case calculations'!B85)</f>
        <v>HEARING</v>
      </c>
      <c r="C245" s="1" t="str">
        <f>IF(A245="","","HEARING")</f>
        <v>HEARING</v>
      </c>
      <c r="D245" s="19">
        <f>IF(A245="","",'Case calculations'!S85)</f>
        <v>0.55000000000000004</v>
      </c>
      <c r="E245" s="10">
        <f>IF(A245="","",Assumptions!$B$30)</f>
        <v>4500</v>
      </c>
      <c r="F245" s="10">
        <f t="shared" si="3"/>
        <v>2475</v>
      </c>
      <c r="G245" s="7">
        <f>IF(A245="","",IF(D245=0,"",'Case calculations'!X85))</f>
        <v>46478</v>
      </c>
      <c r="H245" s="1" t="str">
        <f>IF(A245="","",IF(D245=0,"NO PATH",IF(G245&lt;Assumptions!$B$5,"BEFORE AS-OF",IF(G245&gt;=Assumptions!$B$7,"BEYOND HORIZON","IN HORIZON"))))</f>
        <v>IN HORIZON</v>
      </c>
    </row>
    <row r="246" spans="1:8" ht="22" customHeight="1">
      <c r="A246" s="1" t="str">
        <f>IF('Case calculations'!C86&lt;&gt;"OK","",'Case calculations'!A86)</f>
        <v>O-001</v>
      </c>
      <c r="B246" s="1" t="str">
        <f>IF(A246="","",'Case calculations'!B86)</f>
        <v>HEARING</v>
      </c>
      <c r="C246" s="1" t="str">
        <f>IF(A246="","","INITIAL")</f>
        <v>INITIAL</v>
      </c>
      <c r="D246" s="19">
        <f>IF(A246="","",'Case calculations'!N86)</f>
        <v>0</v>
      </c>
      <c r="E246" s="10">
        <f>IF(A246="","",Assumptions!$B$28)</f>
        <v>2000</v>
      </c>
      <c r="F246" s="10">
        <f t="shared" si="3"/>
        <v>0</v>
      </c>
      <c r="G246" s="7" t="str">
        <f>IF(A246="","",IF(D246=0,"",'Case calculations'!V86))</f>
        <v/>
      </c>
      <c r="H246" s="1" t="str">
        <f>IF(A246="","",IF(D246=0,"NO PATH",IF(G246&lt;Assumptions!$B$5,"BEFORE AS-OF",IF(G246&gt;=Assumptions!$B$7,"BEYOND HORIZON","IN HORIZON"))))</f>
        <v>NO PATH</v>
      </c>
    </row>
    <row r="247" spans="1:8" ht="22" customHeight="1">
      <c r="A247" s="1" t="str">
        <f>IF('Case calculations'!C86&lt;&gt;"OK","",'Case calculations'!A86)</f>
        <v>O-001</v>
      </c>
      <c r="B247" s="1" t="str">
        <f>IF(A247="","",'Case calculations'!B86)</f>
        <v>HEARING</v>
      </c>
      <c r="C247" s="1" t="str">
        <f>IF(A247="","","RECON")</f>
        <v>RECON</v>
      </c>
      <c r="D247" s="19">
        <f>IF(A247="","",'Case calculations'!O86)</f>
        <v>0</v>
      </c>
      <c r="E247" s="10">
        <f>IF(A247="","",Assumptions!$B$29)</f>
        <v>3000</v>
      </c>
      <c r="F247" s="10">
        <f t="shared" si="3"/>
        <v>0</v>
      </c>
      <c r="G247" s="7" t="str">
        <f>IF(A247="","",IF(D247=0,"",'Case calculations'!W86))</f>
        <v/>
      </c>
      <c r="H247" s="1" t="str">
        <f>IF(A247="","",IF(D247=0,"NO PATH",IF(G247&lt;Assumptions!$B$5,"BEFORE AS-OF",IF(G247&gt;=Assumptions!$B$7,"BEYOND HORIZON","IN HORIZON"))))</f>
        <v>NO PATH</v>
      </c>
    </row>
    <row r="248" spans="1:8" ht="22" customHeight="1">
      <c r="A248" s="1" t="str">
        <f>IF('Case calculations'!C86&lt;&gt;"OK","",'Case calculations'!A86)</f>
        <v>O-001</v>
      </c>
      <c r="B248" s="1" t="str">
        <f>IF(A248="","",'Case calculations'!B86)</f>
        <v>HEARING</v>
      </c>
      <c r="C248" s="1" t="str">
        <f>IF(A248="","","HEARING")</f>
        <v>HEARING</v>
      </c>
      <c r="D248" s="19">
        <f>IF(A248="","",'Case calculations'!S86)</f>
        <v>0.55000000000000004</v>
      </c>
      <c r="E248" s="10">
        <f>IF(A248="","",Assumptions!$B$30)</f>
        <v>4500</v>
      </c>
      <c r="F248" s="10">
        <f t="shared" si="3"/>
        <v>2475</v>
      </c>
      <c r="G248" s="7">
        <f>IF(A248="","",IF(D248=0,"",'Case calculations'!X86))</f>
        <v>46447</v>
      </c>
      <c r="H248" s="1" t="str">
        <f>IF(A248="","",IF(D248=0,"NO PATH",IF(G248&lt;Assumptions!$B$5,"BEFORE AS-OF",IF(G248&gt;=Assumptions!$B$7,"BEYOND HORIZON","IN HORIZON"))))</f>
        <v>IN HORIZON</v>
      </c>
    </row>
    <row r="249" spans="1:8" ht="22" customHeight="1">
      <c r="A249" s="1" t="str">
        <f>IF('Case calculations'!C87&lt;&gt;"OK","",'Case calculations'!A87)</f>
        <v>O-002</v>
      </c>
      <c r="B249" s="1" t="str">
        <f>IF(A249="","",'Case calculations'!B87)</f>
        <v>HEARING</v>
      </c>
      <c r="C249" s="1" t="str">
        <f>IF(A249="","","INITIAL")</f>
        <v>INITIAL</v>
      </c>
      <c r="D249" s="19">
        <f>IF(A249="","",'Case calculations'!N87)</f>
        <v>0</v>
      </c>
      <c r="E249" s="10">
        <f>IF(A249="","",Assumptions!$B$28)</f>
        <v>2000</v>
      </c>
      <c r="F249" s="10">
        <f t="shared" si="3"/>
        <v>0</v>
      </c>
      <c r="G249" s="7" t="str">
        <f>IF(A249="","",IF(D249=0,"",'Case calculations'!V87))</f>
        <v/>
      </c>
      <c r="H249" s="1" t="str">
        <f>IF(A249="","",IF(D249=0,"NO PATH",IF(G249&lt;Assumptions!$B$5,"BEFORE AS-OF",IF(G249&gt;=Assumptions!$B$7,"BEYOND HORIZON","IN HORIZON"))))</f>
        <v>NO PATH</v>
      </c>
    </row>
    <row r="250" spans="1:8" ht="22" customHeight="1">
      <c r="A250" s="1" t="str">
        <f>IF('Case calculations'!C87&lt;&gt;"OK","",'Case calculations'!A87)</f>
        <v>O-002</v>
      </c>
      <c r="B250" s="1" t="str">
        <f>IF(A250="","",'Case calculations'!B87)</f>
        <v>HEARING</v>
      </c>
      <c r="C250" s="1" t="str">
        <f>IF(A250="","","RECON")</f>
        <v>RECON</v>
      </c>
      <c r="D250" s="19">
        <f>IF(A250="","",'Case calculations'!O87)</f>
        <v>0</v>
      </c>
      <c r="E250" s="10">
        <f>IF(A250="","",Assumptions!$B$29)</f>
        <v>3000</v>
      </c>
      <c r="F250" s="10">
        <f t="shared" si="3"/>
        <v>0</v>
      </c>
      <c r="G250" s="7" t="str">
        <f>IF(A250="","",IF(D250=0,"",'Case calculations'!W87))</f>
        <v/>
      </c>
      <c r="H250" s="1" t="str">
        <f>IF(A250="","",IF(D250=0,"NO PATH",IF(G250&lt;Assumptions!$B$5,"BEFORE AS-OF",IF(G250&gt;=Assumptions!$B$7,"BEYOND HORIZON","IN HORIZON"))))</f>
        <v>NO PATH</v>
      </c>
    </row>
    <row r="251" spans="1:8" ht="22" customHeight="1">
      <c r="A251" s="1" t="str">
        <f>IF('Case calculations'!C87&lt;&gt;"OK","",'Case calculations'!A87)</f>
        <v>O-002</v>
      </c>
      <c r="B251" s="1" t="str">
        <f>IF(A251="","",'Case calculations'!B87)</f>
        <v>HEARING</v>
      </c>
      <c r="C251" s="1" t="str">
        <f>IF(A251="","","HEARING")</f>
        <v>HEARING</v>
      </c>
      <c r="D251" s="19">
        <f>IF(A251="","",'Case calculations'!S87)</f>
        <v>0.55000000000000004</v>
      </c>
      <c r="E251" s="10">
        <f>IF(A251="","",Assumptions!$B$30)</f>
        <v>4500</v>
      </c>
      <c r="F251" s="10">
        <f t="shared" si="3"/>
        <v>2475</v>
      </c>
      <c r="G251" s="7">
        <f>IF(A251="","",IF(D251=0,"",'Case calculations'!X87))</f>
        <v>46447</v>
      </c>
      <c r="H251" s="1" t="str">
        <f>IF(A251="","",IF(D251=0,"NO PATH",IF(G251&lt;Assumptions!$B$5,"BEFORE AS-OF",IF(G251&gt;=Assumptions!$B$7,"BEYOND HORIZON","IN HORIZON"))))</f>
        <v>IN HORIZON</v>
      </c>
    </row>
    <row r="252" spans="1:8" ht="22" customHeight="1">
      <c r="A252" s="1" t="str">
        <f>IF('Case calculations'!C88&lt;&gt;"OK","",'Case calculations'!A88)</f>
        <v>O-003</v>
      </c>
      <c r="B252" s="1" t="str">
        <f>IF(A252="","",'Case calculations'!B88)</f>
        <v>HEARING</v>
      </c>
      <c r="C252" s="1" t="str">
        <f>IF(A252="","","INITIAL")</f>
        <v>INITIAL</v>
      </c>
      <c r="D252" s="19">
        <f>IF(A252="","",'Case calculations'!N88)</f>
        <v>0</v>
      </c>
      <c r="E252" s="10">
        <f>IF(A252="","",Assumptions!$B$28)</f>
        <v>2000</v>
      </c>
      <c r="F252" s="10">
        <f t="shared" si="3"/>
        <v>0</v>
      </c>
      <c r="G252" s="7" t="str">
        <f>IF(A252="","",IF(D252=0,"",'Case calculations'!V88))</f>
        <v/>
      </c>
      <c r="H252" s="1" t="str">
        <f>IF(A252="","",IF(D252=0,"NO PATH",IF(G252&lt;Assumptions!$B$5,"BEFORE AS-OF",IF(G252&gt;=Assumptions!$B$7,"BEYOND HORIZON","IN HORIZON"))))</f>
        <v>NO PATH</v>
      </c>
    </row>
    <row r="253" spans="1:8" ht="22" customHeight="1">
      <c r="A253" s="1" t="str">
        <f>IF('Case calculations'!C88&lt;&gt;"OK","",'Case calculations'!A88)</f>
        <v>O-003</v>
      </c>
      <c r="B253" s="1" t="str">
        <f>IF(A253="","",'Case calculations'!B88)</f>
        <v>HEARING</v>
      </c>
      <c r="C253" s="1" t="str">
        <f>IF(A253="","","RECON")</f>
        <v>RECON</v>
      </c>
      <c r="D253" s="19">
        <f>IF(A253="","",'Case calculations'!O88)</f>
        <v>0</v>
      </c>
      <c r="E253" s="10">
        <f>IF(A253="","",Assumptions!$B$29)</f>
        <v>3000</v>
      </c>
      <c r="F253" s="10">
        <f t="shared" si="3"/>
        <v>0</v>
      </c>
      <c r="G253" s="7" t="str">
        <f>IF(A253="","",IF(D253=0,"",'Case calculations'!W88))</f>
        <v/>
      </c>
      <c r="H253" s="1" t="str">
        <f>IF(A253="","",IF(D253=0,"NO PATH",IF(G253&lt;Assumptions!$B$5,"BEFORE AS-OF",IF(G253&gt;=Assumptions!$B$7,"BEYOND HORIZON","IN HORIZON"))))</f>
        <v>NO PATH</v>
      </c>
    </row>
    <row r="254" spans="1:8" ht="22" customHeight="1">
      <c r="A254" s="1" t="str">
        <f>IF('Case calculations'!C88&lt;&gt;"OK","",'Case calculations'!A88)</f>
        <v>O-003</v>
      </c>
      <c r="B254" s="1" t="str">
        <f>IF(A254="","",'Case calculations'!B88)</f>
        <v>HEARING</v>
      </c>
      <c r="C254" s="1" t="str">
        <f>IF(A254="","","HEARING")</f>
        <v>HEARING</v>
      </c>
      <c r="D254" s="19">
        <f>IF(A254="","",'Case calculations'!S88)</f>
        <v>0.55000000000000004</v>
      </c>
      <c r="E254" s="10">
        <f>IF(A254="","",Assumptions!$B$30)</f>
        <v>4500</v>
      </c>
      <c r="F254" s="10">
        <f t="shared" si="3"/>
        <v>2475</v>
      </c>
      <c r="G254" s="7">
        <f>IF(A254="","",IF(D254=0,"",'Case calculations'!X88))</f>
        <v>46447</v>
      </c>
      <c r="H254" s="1" t="str">
        <f>IF(A254="","",IF(D254=0,"NO PATH",IF(G254&lt;Assumptions!$B$5,"BEFORE AS-OF",IF(G254&gt;=Assumptions!$B$7,"BEYOND HORIZON","IN HORIZON"))))</f>
        <v>IN HORIZON</v>
      </c>
    </row>
    <row r="255" spans="1:8" ht="22" customHeight="1">
      <c r="A255" s="1" t="str">
        <f>IF('Case calculations'!C89&lt;&gt;"OK","",'Case calculations'!A89)</f>
        <v>O-004</v>
      </c>
      <c r="B255" s="1" t="str">
        <f>IF(A255="","",'Case calculations'!B89)</f>
        <v>HEARING</v>
      </c>
      <c r="C255" s="1" t="str">
        <f>IF(A255="","","INITIAL")</f>
        <v>INITIAL</v>
      </c>
      <c r="D255" s="19">
        <f>IF(A255="","",'Case calculations'!N89)</f>
        <v>0</v>
      </c>
      <c r="E255" s="10">
        <f>IF(A255="","",Assumptions!$B$28)</f>
        <v>2000</v>
      </c>
      <c r="F255" s="10">
        <f t="shared" si="3"/>
        <v>0</v>
      </c>
      <c r="G255" s="7" t="str">
        <f>IF(A255="","",IF(D255=0,"",'Case calculations'!V89))</f>
        <v/>
      </c>
      <c r="H255" s="1" t="str">
        <f>IF(A255="","",IF(D255=0,"NO PATH",IF(G255&lt;Assumptions!$B$5,"BEFORE AS-OF",IF(G255&gt;=Assumptions!$B$7,"BEYOND HORIZON","IN HORIZON"))))</f>
        <v>NO PATH</v>
      </c>
    </row>
    <row r="256" spans="1:8" ht="22" customHeight="1">
      <c r="A256" s="1" t="str">
        <f>IF('Case calculations'!C89&lt;&gt;"OK","",'Case calculations'!A89)</f>
        <v>O-004</v>
      </c>
      <c r="B256" s="1" t="str">
        <f>IF(A256="","",'Case calculations'!B89)</f>
        <v>HEARING</v>
      </c>
      <c r="C256" s="1" t="str">
        <f>IF(A256="","","RECON")</f>
        <v>RECON</v>
      </c>
      <c r="D256" s="19">
        <f>IF(A256="","",'Case calculations'!O89)</f>
        <v>0</v>
      </c>
      <c r="E256" s="10">
        <f>IF(A256="","",Assumptions!$B$29)</f>
        <v>3000</v>
      </c>
      <c r="F256" s="10">
        <f t="shared" si="3"/>
        <v>0</v>
      </c>
      <c r="G256" s="7" t="str">
        <f>IF(A256="","",IF(D256=0,"",'Case calculations'!W89))</f>
        <v/>
      </c>
      <c r="H256" s="1" t="str">
        <f>IF(A256="","",IF(D256=0,"NO PATH",IF(G256&lt;Assumptions!$B$5,"BEFORE AS-OF",IF(G256&gt;=Assumptions!$B$7,"BEYOND HORIZON","IN HORIZON"))))</f>
        <v>NO PATH</v>
      </c>
    </row>
    <row r="257" spans="1:8" ht="22" customHeight="1">
      <c r="A257" s="1" t="str">
        <f>IF('Case calculations'!C89&lt;&gt;"OK","",'Case calculations'!A89)</f>
        <v>O-004</v>
      </c>
      <c r="B257" s="1" t="str">
        <f>IF(A257="","",'Case calculations'!B89)</f>
        <v>HEARING</v>
      </c>
      <c r="C257" s="1" t="str">
        <f>IF(A257="","","HEARING")</f>
        <v>HEARING</v>
      </c>
      <c r="D257" s="19">
        <f>IF(A257="","",'Case calculations'!S89)</f>
        <v>0.55000000000000004</v>
      </c>
      <c r="E257" s="10">
        <f>IF(A257="","",Assumptions!$B$30)</f>
        <v>4500</v>
      </c>
      <c r="F257" s="10">
        <f t="shared" si="3"/>
        <v>2475</v>
      </c>
      <c r="G257" s="7">
        <f>IF(A257="","",IF(D257=0,"",'Case calculations'!X89))</f>
        <v>46447</v>
      </c>
      <c r="H257" s="1" t="str">
        <f>IF(A257="","",IF(D257=0,"NO PATH",IF(G257&lt;Assumptions!$B$5,"BEFORE AS-OF",IF(G257&gt;=Assumptions!$B$7,"BEYOND HORIZON","IN HORIZON"))))</f>
        <v>IN HORIZON</v>
      </c>
    </row>
    <row r="258" spans="1:8" ht="22" customHeight="1">
      <c r="A258" s="1" t="str">
        <f>IF('Case calculations'!C90&lt;&gt;"OK","",'Case calculations'!A90)</f>
        <v>O-005</v>
      </c>
      <c r="B258" s="1" t="str">
        <f>IF(A258="","",'Case calculations'!B90)</f>
        <v>HEARING</v>
      </c>
      <c r="C258" s="1" t="str">
        <f>IF(A258="","","INITIAL")</f>
        <v>INITIAL</v>
      </c>
      <c r="D258" s="19">
        <f>IF(A258="","",'Case calculations'!N90)</f>
        <v>0</v>
      </c>
      <c r="E258" s="10">
        <f>IF(A258="","",Assumptions!$B$28)</f>
        <v>2000</v>
      </c>
      <c r="F258" s="10">
        <f t="shared" si="3"/>
        <v>0</v>
      </c>
      <c r="G258" s="7" t="str">
        <f>IF(A258="","",IF(D258=0,"",'Case calculations'!V90))</f>
        <v/>
      </c>
      <c r="H258" s="1" t="str">
        <f>IF(A258="","",IF(D258=0,"NO PATH",IF(G258&lt;Assumptions!$B$5,"BEFORE AS-OF",IF(G258&gt;=Assumptions!$B$7,"BEYOND HORIZON","IN HORIZON"))))</f>
        <v>NO PATH</v>
      </c>
    </row>
    <row r="259" spans="1:8" ht="22" customHeight="1">
      <c r="A259" s="1" t="str">
        <f>IF('Case calculations'!C90&lt;&gt;"OK","",'Case calculations'!A90)</f>
        <v>O-005</v>
      </c>
      <c r="B259" s="1" t="str">
        <f>IF(A259="","",'Case calculations'!B90)</f>
        <v>HEARING</v>
      </c>
      <c r="C259" s="1" t="str">
        <f>IF(A259="","","RECON")</f>
        <v>RECON</v>
      </c>
      <c r="D259" s="19">
        <f>IF(A259="","",'Case calculations'!O90)</f>
        <v>0</v>
      </c>
      <c r="E259" s="10">
        <f>IF(A259="","",Assumptions!$B$29)</f>
        <v>3000</v>
      </c>
      <c r="F259" s="10">
        <f t="shared" si="3"/>
        <v>0</v>
      </c>
      <c r="G259" s="7" t="str">
        <f>IF(A259="","",IF(D259=0,"",'Case calculations'!W90))</f>
        <v/>
      </c>
      <c r="H259" s="1" t="str">
        <f>IF(A259="","",IF(D259=0,"NO PATH",IF(G259&lt;Assumptions!$B$5,"BEFORE AS-OF",IF(G259&gt;=Assumptions!$B$7,"BEYOND HORIZON","IN HORIZON"))))</f>
        <v>NO PATH</v>
      </c>
    </row>
    <row r="260" spans="1:8" ht="22" customHeight="1">
      <c r="A260" s="1" t="str">
        <f>IF('Case calculations'!C90&lt;&gt;"OK","",'Case calculations'!A90)</f>
        <v>O-005</v>
      </c>
      <c r="B260" s="1" t="str">
        <f>IF(A260="","",'Case calculations'!B90)</f>
        <v>HEARING</v>
      </c>
      <c r="C260" s="1" t="str">
        <f>IF(A260="","","HEARING")</f>
        <v>HEARING</v>
      </c>
      <c r="D260" s="19">
        <f>IF(A260="","",'Case calculations'!S90)</f>
        <v>0.55000000000000004</v>
      </c>
      <c r="E260" s="10">
        <f>IF(A260="","",Assumptions!$B$30)</f>
        <v>4500</v>
      </c>
      <c r="F260" s="10">
        <f t="shared" si="3"/>
        <v>2475</v>
      </c>
      <c r="G260" s="7">
        <f>IF(A260="","",IF(D260=0,"",'Case calculations'!X90))</f>
        <v>46447</v>
      </c>
      <c r="H260" s="1" t="str">
        <f>IF(A260="","",IF(D260=0,"NO PATH",IF(G260&lt;Assumptions!$B$5,"BEFORE AS-OF",IF(G260&gt;=Assumptions!$B$7,"BEYOND HORIZON","IN HORIZON"))))</f>
        <v>IN HORIZON</v>
      </c>
    </row>
    <row r="261" spans="1:8" ht="22" customHeight="1">
      <c r="A261" s="1" t="str">
        <f>IF('Case calculations'!C91&lt;&gt;"OK","",'Case calculations'!A91)</f>
        <v>O-006</v>
      </c>
      <c r="B261" s="1" t="str">
        <f>IF(A261="","",'Case calculations'!B91)</f>
        <v>HEARING</v>
      </c>
      <c r="C261" s="1" t="str">
        <f>IF(A261="","","INITIAL")</f>
        <v>INITIAL</v>
      </c>
      <c r="D261" s="19">
        <f>IF(A261="","",'Case calculations'!N91)</f>
        <v>0</v>
      </c>
      <c r="E261" s="10">
        <f>IF(A261="","",Assumptions!$B$28)</f>
        <v>2000</v>
      </c>
      <c r="F261" s="10">
        <f t="shared" si="3"/>
        <v>0</v>
      </c>
      <c r="G261" s="7" t="str">
        <f>IF(A261="","",IF(D261=0,"",'Case calculations'!V91))</f>
        <v/>
      </c>
      <c r="H261" s="1" t="str">
        <f>IF(A261="","",IF(D261=0,"NO PATH",IF(G261&lt;Assumptions!$B$5,"BEFORE AS-OF",IF(G261&gt;=Assumptions!$B$7,"BEYOND HORIZON","IN HORIZON"))))</f>
        <v>NO PATH</v>
      </c>
    </row>
    <row r="262" spans="1:8" ht="22" customHeight="1">
      <c r="A262" s="1" t="str">
        <f>IF('Case calculations'!C91&lt;&gt;"OK","",'Case calculations'!A91)</f>
        <v>O-006</v>
      </c>
      <c r="B262" s="1" t="str">
        <f>IF(A262="","",'Case calculations'!B91)</f>
        <v>HEARING</v>
      </c>
      <c r="C262" s="1" t="str">
        <f>IF(A262="","","RECON")</f>
        <v>RECON</v>
      </c>
      <c r="D262" s="19">
        <f>IF(A262="","",'Case calculations'!O91)</f>
        <v>0</v>
      </c>
      <c r="E262" s="10">
        <f>IF(A262="","",Assumptions!$B$29)</f>
        <v>3000</v>
      </c>
      <c r="F262" s="10">
        <f t="shared" ref="F262:F325" si="4">IF(A262="","",D262*E262)</f>
        <v>0</v>
      </c>
      <c r="G262" s="7" t="str">
        <f>IF(A262="","",IF(D262=0,"",'Case calculations'!W91))</f>
        <v/>
      </c>
      <c r="H262" s="1" t="str">
        <f>IF(A262="","",IF(D262=0,"NO PATH",IF(G262&lt;Assumptions!$B$5,"BEFORE AS-OF",IF(G262&gt;=Assumptions!$B$7,"BEYOND HORIZON","IN HORIZON"))))</f>
        <v>NO PATH</v>
      </c>
    </row>
    <row r="263" spans="1:8" ht="22" customHeight="1">
      <c r="A263" s="1" t="str">
        <f>IF('Case calculations'!C91&lt;&gt;"OK","",'Case calculations'!A91)</f>
        <v>O-006</v>
      </c>
      <c r="B263" s="1" t="str">
        <f>IF(A263="","",'Case calculations'!B91)</f>
        <v>HEARING</v>
      </c>
      <c r="C263" s="1" t="str">
        <f>IF(A263="","","HEARING")</f>
        <v>HEARING</v>
      </c>
      <c r="D263" s="19">
        <f>IF(A263="","",'Case calculations'!S91)</f>
        <v>0.55000000000000004</v>
      </c>
      <c r="E263" s="10">
        <f>IF(A263="","",Assumptions!$B$30)</f>
        <v>4500</v>
      </c>
      <c r="F263" s="10">
        <f t="shared" si="4"/>
        <v>2475</v>
      </c>
      <c r="G263" s="7">
        <f>IF(A263="","",IF(D263=0,"",'Case calculations'!X91))</f>
        <v>46447</v>
      </c>
      <c r="H263" s="1" t="str">
        <f>IF(A263="","",IF(D263=0,"NO PATH",IF(G263&lt;Assumptions!$B$5,"BEFORE AS-OF",IF(G263&gt;=Assumptions!$B$7,"BEYOND HORIZON","IN HORIZON"))))</f>
        <v>IN HORIZON</v>
      </c>
    </row>
    <row r="264" spans="1:8" ht="22" customHeight="1">
      <c r="A264" s="1" t="str">
        <f>IF('Case calculations'!C92&lt;&gt;"OK","",'Case calculations'!A92)</f>
        <v>O-007</v>
      </c>
      <c r="B264" s="1" t="str">
        <f>IF(A264="","",'Case calculations'!B92)</f>
        <v>HEARING</v>
      </c>
      <c r="C264" s="1" t="str">
        <f>IF(A264="","","INITIAL")</f>
        <v>INITIAL</v>
      </c>
      <c r="D264" s="19">
        <f>IF(A264="","",'Case calculations'!N92)</f>
        <v>0</v>
      </c>
      <c r="E264" s="10">
        <f>IF(A264="","",Assumptions!$B$28)</f>
        <v>2000</v>
      </c>
      <c r="F264" s="10">
        <f t="shared" si="4"/>
        <v>0</v>
      </c>
      <c r="G264" s="7" t="str">
        <f>IF(A264="","",IF(D264=0,"",'Case calculations'!V92))</f>
        <v/>
      </c>
      <c r="H264" s="1" t="str">
        <f>IF(A264="","",IF(D264=0,"NO PATH",IF(G264&lt;Assumptions!$B$5,"BEFORE AS-OF",IF(G264&gt;=Assumptions!$B$7,"BEYOND HORIZON","IN HORIZON"))))</f>
        <v>NO PATH</v>
      </c>
    </row>
    <row r="265" spans="1:8" ht="22" customHeight="1">
      <c r="A265" s="1" t="str">
        <f>IF('Case calculations'!C92&lt;&gt;"OK","",'Case calculations'!A92)</f>
        <v>O-007</v>
      </c>
      <c r="B265" s="1" t="str">
        <f>IF(A265="","",'Case calculations'!B92)</f>
        <v>HEARING</v>
      </c>
      <c r="C265" s="1" t="str">
        <f>IF(A265="","","RECON")</f>
        <v>RECON</v>
      </c>
      <c r="D265" s="19">
        <f>IF(A265="","",'Case calculations'!O92)</f>
        <v>0</v>
      </c>
      <c r="E265" s="10">
        <f>IF(A265="","",Assumptions!$B$29)</f>
        <v>3000</v>
      </c>
      <c r="F265" s="10">
        <f t="shared" si="4"/>
        <v>0</v>
      </c>
      <c r="G265" s="7" t="str">
        <f>IF(A265="","",IF(D265=0,"",'Case calculations'!W92))</f>
        <v/>
      </c>
      <c r="H265" s="1" t="str">
        <f>IF(A265="","",IF(D265=0,"NO PATH",IF(G265&lt;Assumptions!$B$5,"BEFORE AS-OF",IF(G265&gt;=Assumptions!$B$7,"BEYOND HORIZON","IN HORIZON"))))</f>
        <v>NO PATH</v>
      </c>
    </row>
    <row r="266" spans="1:8" ht="22" customHeight="1">
      <c r="A266" s="1" t="str">
        <f>IF('Case calculations'!C92&lt;&gt;"OK","",'Case calculations'!A92)</f>
        <v>O-007</v>
      </c>
      <c r="B266" s="1" t="str">
        <f>IF(A266="","",'Case calculations'!B92)</f>
        <v>HEARING</v>
      </c>
      <c r="C266" s="1" t="str">
        <f>IF(A266="","","HEARING")</f>
        <v>HEARING</v>
      </c>
      <c r="D266" s="19">
        <f>IF(A266="","",'Case calculations'!S92)</f>
        <v>0.55000000000000004</v>
      </c>
      <c r="E266" s="10">
        <f>IF(A266="","",Assumptions!$B$30)</f>
        <v>4500</v>
      </c>
      <c r="F266" s="10">
        <f t="shared" si="4"/>
        <v>2475</v>
      </c>
      <c r="G266" s="7">
        <f>IF(A266="","",IF(D266=0,"",'Case calculations'!X92))</f>
        <v>46447</v>
      </c>
      <c r="H266" s="1" t="str">
        <f>IF(A266="","",IF(D266=0,"NO PATH",IF(G266&lt;Assumptions!$B$5,"BEFORE AS-OF",IF(G266&gt;=Assumptions!$B$7,"BEYOND HORIZON","IN HORIZON"))))</f>
        <v>IN HORIZON</v>
      </c>
    </row>
    <row r="267" spans="1:8" ht="22" customHeight="1">
      <c r="A267" s="1" t="str">
        <f>IF('Case calculations'!C93&lt;&gt;"OK","",'Case calculations'!A93)</f>
        <v>O-008</v>
      </c>
      <c r="B267" s="1" t="str">
        <f>IF(A267="","",'Case calculations'!B93)</f>
        <v>HEARING</v>
      </c>
      <c r="C267" s="1" t="str">
        <f>IF(A267="","","INITIAL")</f>
        <v>INITIAL</v>
      </c>
      <c r="D267" s="19">
        <f>IF(A267="","",'Case calculations'!N93)</f>
        <v>0</v>
      </c>
      <c r="E267" s="10">
        <f>IF(A267="","",Assumptions!$B$28)</f>
        <v>2000</v>
      </c>
      <c r="F267" s="10">
        <f t="shared" si="4"/>
        <v>0</v>
      </c>
      <c r="G267" s="7" t="str">
        <f>IF(A267="","",IF(D267=0,"",'Case calculations'!V93))</f>
        <v/>
      </c>
      <c r="H267" s="1" t="str">
        <f>IF(A267="","",IF(D267=0,"NO PATH",IF(G267&lt;Assumptions!$B$5,"BEFORE AS-OF",IF(G267&gt;=Assumptions!$B$7,"BEYOND HORIZON","IN HORIZON"))))</f>
        <v>NO PATH</v>
      </c>
    </row>
    <row r="268" spans="1:8" ht="22" customHeight="1">
      <c r="A268" s="1" t="str">
        <f>IF('Case calculations'!C93&lt;&gt;"OK","",'Case calculations'!A93)</f>
        <v>O-008</v>
      </c>
      <c r="B268" s="1" t="str">
        <f>IF(A268="","",'Case calculations'!B93)</f>
        <v>HEARING</v>
      </c>
      <c r="C268" s="1" t="str">
        <f>IF(A268="","","RECON")</f>
        <v>RECON</v>
      </c>
      <c r="D268" s="19">
        <f>IF(A268="","",'Case calculations'!O93)</f>
        <v>0</v>
      </c>
      <c r="E268" s="10">
        <f>IF(A268="","",Assumptions!$B$29)</f>
        <v>3000</v>
      </c>
      <c r="F268" s="10">
        <f t="shared" si="4"/>
        <v>0</v>
      </c>
      <c r="G268" s="7" t="str">
        <f>IF(A268="","",IF(D268=0,"",'Case calculations'!W93))</f>
        <v/>
      </c>
      <c r="H268" s="1" t="str">
        <f>IF(A268="","",IF(D268=0,"NO PATH",IF(G268&lt;Assumptions!$B$5,"BEFORE AS-OF",IF(G268&gt;=Assumptions!$B$7,"BEYOND HORIZON","IN HORIZON"))))</f>
        <v>NO PATH</v>
      </c>
    </row>
    <row r="269" spans="1:8" ht="22" customHeight="1">
      <c r="A269" s="1" t="str">
        <f>IF('Case calculations'!C93&lt;&gt;"OK","",'Case calculations'!A93)</f>
        <v>O-008</v>
      </c>
      <c r="B269" s="1" t="str">
        <f>IF(A269="","",'Case calculations'!B93)</f>
        <v>HEARING</v>
      </c>
      <c r="C269" s="1" t="str">
        <f>IF(A269="","","HEARING")</f>
        <v>HEARING</v>
      </c>
      <c r="D269" s="19">
        <f>IF(A269="","",'Case calculations'!S93)</f>
        <v>0.55000000000000004</v>
      </c>
      <c r="E269" s="10">
        <f>IF(A269="","",Assumptions!$B$30)</f>
        <v>4500</v>
      </c>
      <c r="F269" s="10">
        <f t="shared" si="4"/>
        <v>2475</v>
      </c>
      <c r="G269" s="7">
        <f>IF(A269="","",IF(D269=0,"",'Case calculations'!X93))</f>
        <v>46447</v>
      </c>
      <c r="H269" s="1" t="str">
        <f>IF(A269="","",IF(D269=0,"NO PATH",IF(G269&lt;Assumptions!$B$5,"BEFORE AS-OF",IF(G269&gt;=Assumptions!$B$7,"BEYOND HORIZON","IN HORIZON"))))</f>
        <v>IN HORIZON</v>
      </c>
    </row>
    <row r="270" spans="1:8" ht="22" customHeight="1">
      <c r="A270" s="1" t="str">
        <f>IF('Case calculations'!C94&lt;&gt;"OK","",'Case calculations'!A94)</f>
        <v>O-009</v>
      </c>
      <c r="B270" s="1" t="str">
        <f>IF(A270="","",'Case calculations'!B94)</f>
        <v>HEARING</v>
      </c>
      <c r="C270" s="1" t="str">
        <f>IF(A270="","","INITIAL")</f>
        <v>INITIAL</v>
      </c>
      <c r="D270" s="19">
        <f>IF(A270="","",'Case calculations'!N94)</f>
        <v>0</v>
      </c>
      <c r="E270" s="10">
        <f>IF(A270="","",Assumptions!$B$28)</f>
        <v>2000</v>
      </c>
      <c r="F270" s="10">
        <f t="shared" si="4"/>
        <v>0</v>
      </c>
      <c r="G270" s="7" t="str">
        <f>IF(A270="","",IF(D270=0,"",'Case calculations'!V94))</f>
        <v/>
      </c>
      <c r="H270" s="1" t="str">
        <f>IF(A270="","",IF(D270=0,"NO PATH",IF(G270&lt;Assumptions!$B$5,"BEFORE AS-OF",IF(G270&gt;=Assumptions!$B$7,"BEYOND HORIZON","IN HORIZON"))))</f>
        <v>NO PATH</v>
      </c>
    </row>
    <row r="271" spans="1:8" ht="22" customHeight="1">
      <c r="A271" s="1" t="str">
        <f>IF('Case calculations'!C94&lt;&gt;"OK","",'Case calculations'!A94)</f>
        <v>O-009</v>
      </c>
      <c r="B271" s="1" t="str">
        <f>IF(A271="","",'Case calculations'!B94)</f>
        <v>HEARING</v>
      </c>
      <c r="C271" s="1" t="str">
        <f>IF(A271="","","RECON")</f>
        <v>RECON</v>
      </c>
      <c r="D271" s="19">
        <f>IF(A271="","",'Case calculations'!O94)</f>
        <v>0</v>
      </c>
      <c r="E271" s="10">
        <f>IF(A271="","",Assumptions!$B$29)</f>
        <v>3000</v>
      </c>
      <c r="F271" s="10">
        <f t="shared" si="4"/>
        <v>0</v>
      </c>
      <c r="G271" s="7" t="str">
        <f>IF(A271="","",IF(D271=0,"",'Case calculations'!W94))</f>
        <v/>
      </c>
      <c r="H271" s="1" t="str">
        <f>IF(A271="","",IF(D271=0,"NO PATH",IF(G271&lt;Assumptions!$B$5,"BEFORE AS-OF",IF(G271&gt;=Assumptions!$B$7,"BEYOND HORIZON","IN HORIZON"))))</f>
        <v>NO PATH</v>
      </c>
    </row>
    <row r="272" spans="1:8" ht="22" customHeight="1">
      <c r="A272" s="1" t="str">
        <f>IF('Case calculations'!C94&lt;&gt;"OK","",'Case calculations'!A94)</f>
        <v>O-009</v>
      </c>
      <c r="B272" s="1" t="str">
        <f>IF(A272="","",'Case calculations'!B94)</f>
        <v>HEARING</v>
      </c>
      <c r="C272" s="1" t="str">
        <f>IF(A272="","","HEARING")</f>
        <v>HEARING</v>
      </c>
      <c r="D272" s="19">
        <f>IF(A272="","",'Case calculations'!S94)</f>
        <v>0.55000000000000004</v>
      </c>
      <c r="E272" s="10">
        <f>IF(A272="","",Assumptions!$B$30)</f>
        <v>4500</v>
      </c>
      <c r="F272" s="10">
        <f t="shared" si="4"/>
        <v>2475</v>
      </c>
      <c r="G272" s="7">
        <f>IF(A272="","",IF(D272=0,"",'Case calculations'!X94))</f>
        <v>46447</v>
      </c>
      <c r="H272" s="1" t="str">
        <f>IF(A272="","",IF(D272=0,"NO PATH",IF(G272&lt;Assumptions!$B$5,"BEFORE AS-OF",IF(G272&gt;=Assumptions!$B$7,"BEYOND HORIZON","IN HORIZON"))))</f>
        <v>IN HORIZON</v>
      </c>
    </row>
    <row r="273" spans="1:8" ht="22" customHeight="1">
      <c r="A273" s="1" t="str">
        <f>IF('Case calculations'!C95&lt;&gt;"OK","",'Case calculations'!A95)</f>
        <v>O-010</v>
      </c>
      <c r="B273" s="1" t="str">
        <f>IF(A273="","",'Case calculations'!B95)</f>
        <v>HEARING</v>
      </c>
      <c r="C273" s="1" t="str">
        <f>IF(A273="","","INITIAL")</f>
        <v>INITIAL</v>
      </c>
      <c r="D273" s="19">
        <f>IF(A273="","",'Case calculations'!N95)</f>
        <v>0</v>
      </c>
      <c r="E273" s="10">
        <f>IF(A273="","",Assumptions!$B$28)</f>
        <v>2000</v>
      </c>
      <c r="F273" s="10">
        <f t="shared" si="4"/>
        <v>0</v>
      </c>
      <c r="G273" s="7" t="str">
        <f>IF(A273="","",IF(D273=0,"",'Case calculations'!V95))</f>
        <v/>
      </c>
      <c r="H273" s="1" t="str">
        <f>IF(A273="","",IF(D273=0,"NO PATH",IF(G273&lt;Assumptions!$B$5,"BEFORE AS-OF",IF(G273&gt;=Assumptions!$B$7,"BEYOND HORIZON","IN HORIZON"))))</f>
        <v>NO PATH</v>
      </c>
    </row>
    <row r="274" spans="1:8" ht="22" customHeight="1">
      <c r="A274" s="1" t="str">
        <f>IF('Case calculations'!C95&lt;&gt;"OK","",'Case calculations'!A95)</f>
        <v>O-010</v>
      </c>
      <c r="B274" s="1" t="str">
        <f>IF(A274="","",'Case calculations'!B95)</f>
        <v>HEARING</v>
      </c>
      <c r="C274" s="1" t="str">
        <f>IF(A274="","","RECON")</f>
        <v>RECON</v>
      </c>
      <c r="D274" s="19">
        <f>IF(A274="","",'Case calculations'!O95)</f>
        <v>0</v>
      </c>
      <c r="E274" s="10">
        <f>IF(A274="","",Assumptions!$B$29)</f>
        <v>3000</v>
      </c>
      <c r="F274" s="10">
        <f t="shared" si="4"/>
        <v>0</v>
      </c>
      <c r="G274" s="7" t="str">
        <f>IF(A274="","",IF(D274=0,"",'Case calculations'!W95))</f>
        <v/>
      </c>
      <c r="H274" s="1" t="str">
        <f>IF(A274="","",IF(D274=0,"NO PATH",IF(G274&lt;Assumptions!$B$5,"BEFORE AS-OF",IF(G274&gt;=Assumptions!$B$7,"BEYOND HORIZON","IN HORIZON"))))</f>
        <v>NO PATH</v>
      </c>
    </row>
    <row r="275" spans="1:8" ht="22" customHeight="1">
      <c r="A275" s="1" t="str">
        <f>IF('Case calculations'!C95&lt;&gt;"OK","",'Case calculations'!A95)</f>
        <v>O-010</v>
      </c>
      <c r="B275" s="1" t="str">
        <f>IF(A275="","",'Case calculations'!B95)</f>
        <v>HEARING</v>
      </c>
      <c r="C275" s="1" t="str">
        <f>IF(A275="","","HEARING")</f>
        <v>HEARING</v>
      </c>
      <c r="D275" s="19">
        <f>IF(A275="","",'Case calculations'!S95)</f>
        <v>0.55000000000000004</v>
      </c>
      <c r="E275" s="10">
        <f>IF(A275="","",Assumptions!$B$30)</f>
        <v>4500</v>
      </c>
      <c r="F275" s="10">
        <f t="shared" si="4"/>
        <v>2475</v>
      </c>
      <c r="G275" s="7">
        <f>IF(A275="","",IF(D275=0,"",'Case calculations'!X95))</f>
        <v>46447</v>
      </c>
      <c r="H275" s="1" t="str">
        <f>IF(A275="","",IF(D275=0,"NO PATH",IF(G275&lt;Assumptions!$B$5,"BEFORE AS-OF",IF(G275&gt;=Assumptions!$B$7,"BEYOND HORIZON","IN HORIZON"))))</f>
        <v>IN HORIZON</v>
      </c>
    </row>
    <row r="276" spans="1:8" ht="22" customHeight="1">
      <c r="A276" s="1" t="str">
        <f>IF('Case calculations'!C96&lt;&gt;"OK","",'Case calculations'!A96)</f>
        <v>S-001</v>
      </c>
      <c r="B276" s="1" t="str">
        <f>IF(A276="","",'Case calculations'!B96)</f>
        <v>HEARING</v>
      </c>
      <c r="C276" s="1" t="str">
        <f>IF(A276="","","INITIAL")</f>
        <v>INITIAL</v>
      </c>
      <c r="D276" s="19">
        <f>IF(A276="","",'Case calculations'!N96)</f>
        <v>0</v>
      </c>
      <c r="E276" s="10">
        <f>IF(A276="","",Assumptions!$B$28)</f>
        <v>2000</v>
      </c>
      <c r="F276" s="10">
        <f t="shared" si="4"/>
        <v>0</v>
      </c>
      <c r="G276" s="7" t="str">
        <f>IF(A276="","",IF(D276=0,"",'Case calculations'!V96))</f>
        <v/>
      </c>
      <c r="H276" s="1" t="str">
        <f>IF(A276="","",IF(D276=0,"NO PATH",IF(G276&lt;Assumptions!$B$5,"BEFORE AS-OF",IF(G276&gt;=Assumptions!$B$7,"BEYOND HORIZON","IN HORIZON"))))</f>
        <v>NO PATH</v>
      </c>
    </row>
    <row r="277" spans="1:8" ht="22" customHeight="1">
      <c r="A277" s="1" t="str">
        <f>IF('Case calculations'!C96&lt;&gt;"OK","",'Case calculations'!A96)</f>
        <v>S-001</v>
      </c>
      <c r="B277" s="1" t="str">
        <f>IF(A277="","",'Case calculations'!B96)</f>
        <v>HEARING</v>
      </c>
      <c r="C277" s="1" t="str">
        <f>IF(A277="","","RECON")</f>
        <v>RECON</v>
      </c>
      <c r="D277" s="19">
        <f>IF(A277="","",'Case calculations'!O96)</f>
        <v>0</v>
      </c>
      <c r="E277" s="10">
        <f>IF(A277="","",Assumptions!$B$29)</f>
        <v>3000</v>
      </c>
      <c r="F277" s="10">
        <f t="shared" si="4"/>
        <v>0</v>
      </c>
      <c r="G277" s="7" t="str">
        <f>IF(A277="","",IF(D277=0,"",'Case calculations'!W96))</f>
        <v/>
      </c>
      <c r="H277" s="1" t="str">
        <f>IF(A277="","",IF(D277=0,"NO PATH",IF(G277&lt;Assumptions!$B$5,"BEFORE AS-OF",IF(G277&gt;=Assumptions!$B$7,"BEYOND HORIZON","IN HORIZON"))))</f>
        <v>NO PATH</v>
      </c>
    </row>
    <row r="278" spans="1:8" ht="22" customHeight="1">
      <c r="A278" s="1" t="str">
        <f>IF('Case calculations'!C96&lt;&gt;"OK","",'Case calculations'!A96)</f>
        <v>S-001</v>
      </c>
      <c r="B278" s="1" t="str">
        <f>IF(A278="","",'Case calculations'!B96)</f>
        <v>HEARING</v>
      </c>
      <c r="C278" s="1" t="str">
        <f>IF(A278="","","HEARING")</f>
        <v>HEARING</v>
      </c>
      <c r="D278" s="19">
        <f>IF(A278="","",'Case calculations'!S96)</f>
        <v>0.55000000000000004</v>
      </c>
      <c r="E278" s="10">
        <f>IF(A278="","",Assumptions!$B$30)</f>
        <v>4500</v>
      </c>
      <c r="F278" s="10">
        <f t="shared" si="4"/>
        <v>2475</v>
      </c>
      <c r="G278" s="7">
        <f>IF(A278="","",IF(D278=0,"",'Case calculations'!X96))</f>
        <v>46419</v>
      </c>
      <c r="H278" s="1" t="str">
        <f>IF(A278="","",IF(D278=0,"NO PATH",IF(G278&lt;Assumptions!$B$5,"BEFORE AS-OF",IF(G278&gt;=Assumptions!$B$7,"BEYOND HORIZON","IN HORIZON"))))</f>
        <v>IN HORIZON</v>
      </c>
    </row>
    <row r="279" spans="1:8" ht="22" customHeight="1">
      <c r="A279" s="1" t="str">
        <f>IF('Case calculations'!C97&lt;&gt;"OK","",'Case calculations'!A97)</f>
        <v>S-002</v>
      </c>
      <c r="B279" s="1" t="str">
        <f>IF(A279="","",'Case calculations'!B97)</f>
        <v>HEARING</v>
      </c>
      <c r="C279" s="1" t="str">
        <f>IF(A279="","","INITIAL")</f>
        <v>INITIAL</v>
      </c>
      <c r="D279" s="19">
        <f>IF(A279="","",'Case calculations'!N97)</f>
        <v>0</v>
      </c>
      <c r="E279" s="10">
        <f>IF(A279="","",Assumptions!$B$28)</f>
        <v>2000</v>
      </c>
      <c r="F279" s="10">
        <f t="shared" si="4"/>
        <v>0</v>
      </c>
      <c r="G279" s="7" t="str">
        <f>IF(A279="","",IF(D279=0,"",'Case calculations'!V97))</f>
        <v/>
      </c>
      <c r="H279" s="1" t="str">
        <f>IF(A279="","",IF(D279=0,"NO PATH",IF(G279&lt;Assumptions!$B$5,"BEFORE AS-OF",IF(G279&gt;=Assumptions!$B$7,"BEYOND HORIZON","IN HORIZON"))))</f>
        <v>NO PATH</v>
      </c>
    </row>
    <row r="280" spans="1:8" ht="22" customHeight="1">
      <c r="A280" s="1" t="str">
        <f>IF('Case calculations'!C97&lt;&gt;"OK","",'Case calculations'!A97)</f>
        <v>S-002</v>
      </c>
      <c r="B280" s="1" t="str">
        <f>IF(A280="","",'Case calculations'!B97)</f>
        <v>HEARING</v>
      </c>
      <c r="C280" s="1" t="str">
        <f>IF(A280="","","RECON")</f>
        <v>RECON</v>
      </c>
      <c r="D280" s="19">
        <f>IF(A280="","",'Case calculations'!O97)</f>
        <v>0</v>
      </c>
      <c r="E280" s="10">
        <f>IF(A280="","",Assumptions!$B$29)</f>
        <v>3000</v>
      </c>
      <c r="F280" s="10">
        <f t="shared" si="4"/>
        <v>0</v>
      </c>
      <c r="G280" s="7" t="str">
        <f>IF(A280="","",IF(D280=0,"",'Case calculations'!W97))</f>
        <v/>
      </c>
      <c r="H280" s="1" t="str">
        <f>IF(A280="","",IF(D280=0,"NO PATH",IF(G280&lt;Assumptions!$B$5,"BEFORE AS-OF",IF(G280&gt;=Assumptions!$B$7,"BEYOND HORIZON","IN HORIZON"))))</f>
        <v>NO PATH</v>
      </c>
    </row>
    <row r="281" spans="1:8" ht="22" customHeight="1">
      <c r="A281" s="1" t="str">
        <f>IF('Case calculations'!C97&lt;&gt;"OK","",'Case calculations'!A97)</f>
        <v>S-002</v>
      </c>
      <c r="B281" s="1" t="str">
        <f>IF(A281="","",'Case calculations'!B97)</f>
        <v>HEARING</v>
      </c>
      <c r="C281" s="1" t="str">
        <f>IF(A281="","","HEARING")</f>
        <v>HEARING</v>
      </c>
      <c r="D281" s="19">
        <f>IF(A281="","",'Case calculations'!S97)</f>
        <v>0.55000000000000004</v>
      </c>
      <c r="E281" s="10">
        <f>IF(A281="","",Assumptions!$B$30)</f>
        <v>4500</v>
      </c>
      <c r="F281" s="10">
        <f t="shared" si="4"/>
        <v>2475</v>
      </c>
      <c r="G281" s="7">
        <f>IF(A281="","",IF(D281=0,"",'Case calculations'!X97))</f>
        <v>46419</v>
      </c>
      <c r="H281" s="1" t="str">
        <f>IF(A281="","",IF(D281=0,"NO PATH",IF(G281&lt;Assumptions!$B$5,"BEFORE AS-OF",IF(G281&gt;=Assumptions!$B$7,"BEYOND HORIZON","IN HORIZON"))))</f>
        <v>IN HORIZON</v>
      </c>
    </row>
    <row r="282" spans="1:8" ht="22" customHeight="1">
      <c r="A282" s="1" t="str">
        <f>IF('Case calculations'!C98&lt;&gt;"OK","",'Case calculations'!A98)</f>
        <v>S-003</v>
      </c>
      <c r="B282" s="1" t="str">
        <f>IF(A282="","",'Case calculations'!B98)</f>
        <v>HEARING</v>
      </c>
      <c r="C282" s="1" t="str">
        <f>IF(A282="","","INITIAL")</f>
        <v>INITIAL</v>
      </c>
      <c r="D282" s="19">
        <f>IF(A282="","",'Case calculations'!N98)</f>
        <v>0</v>
      </c>
      <c r="E282" s="10">
        <f>IF(A282="","",Assumptions!$B$28)</f>
        <v>2000</v>
      </c>
      <c r="F282" s="10">
        <f t="shared" si="4"/>
        <v>0</v>
      </c>
      <c r="G282" s="7" t="str">
        <f>IF(A282="","",IF(D282=0,"",'Case calculations'!V98))</f>
        <v/>
      </c>
      <c r="H282" s="1" t="str">
        <f>IF(A282="","",IF(D282=0,"NO PATH",IF(G282&lt;Assumptions!$B$5,"BEFORE AS-OF",IF(G282&gt;=Assumptions!$B$7,"BEYOND HORIZON","IN HORIZON"))))</f>
        <v>NO PATH</v>
      </c>
    </row>
    <row r="283" spans="1:8" ht="22" customHeight="1">
      <c r="A283" s="1" t="str">
        <f>IF('Case calculations'!C98&lt;&gt;"OK","",'Case calculations'!A98)</f>
        <v>S-003</v>
      </c>
      <c r="B283" s="1" t="str">
        <f>IF(A283="","",'Case calculations'!B98)</f>
        <v>HEARING</v>
      </c>
      <c r="C283" s="1" t="str">
        <f>IF(A283="","","RECON")</f>
        <v>RECON</v>
      </c>
      <c r="D283" s="19">
        <f>IF(A283="","",'Case calculations'!O98)</f>
        <v>0</v>
      </c>
      <c r="E283" s="10">
        <f>IF(A283="","",Assumptions!$B$29)</f>
        <v>3000</v>
      </c>
      <c r="F283" s="10">
        <f t="shared" si="4"/>
        <v>0</v>
      </c>
      <c r="G283" s="7" t="str">
        <f>IF(A283="","",IF(D283=0,"",'Case calculations'!W98))</f>
        <v/>
      </c>
      <c r="H283" s="1" t="str">
        <f>IF(A283="","",IF(D283=0,"NO PATH",IF(G283&lt;Assumptions!$B$5,"BEFORE AS-OF",IF(G283&gt;=Assumptions!$B$7,"BEYOND HORIZON","IN HORIZON"))))</f>
        <v>NO PATH</v>
      </c>
    </row>
    <row r="284" spans="1:8" ht="22" customHeight="1">
      <c r="A284" s="1" t="str">
        <f>IF('Case calculations'!C98&lt;&gt;"OK","",'Case calculations'!A98)</f>
        <v>S-003</v>
      </c>
      <c r="B284" s="1" t="str">
        <f>IF(A284="","",'Case calculations'!B98)</f>
        <v>HEARING</v>
      </c>
      <c r="C284" s="1" t="str">
        <f>IF(A284="","","HEARING")</f>
        <v>HEARING</v>
      </c>
      <c r="D284" s="19">
        <f>IF(A284="","",'Case calculations'!S98)</f>
        <v>0.55000000000000004</v>
      </c>
      <c r="E284" s="10">
        <f>IF(A284="","",Assumptions!$B$30)</f>
        <v>4500</v>
      </c>
      <c r="F284" s="10">
        <f t="shared" si="4"/>
        <v>2475</v>
      </c>
      <c r="G284" s="7">
        <f>IF(A284="","",IF(D284=0,"",'Case calculations'!X98))</f>
        <v>46419</v>
      </c>
      <c r="H284" s="1" t="str">
        <f>IF(A284="","",IF(D284=0,"NO PATH",IF(G284&lt;Assumptions!$B$5,"BEFORE AS-OF",IF(G284&gt;=Assumptions!$B$7,"BEYOND HORIZON","IN HORIZON"))))</f>
        <v>IN HORIZON</v>
      </c>
    </row>
    <row r="285" spans="1:8" ht="22" customHeight="1">
      <c r="A285" s="1" t="str">
        <f>IF('Case calculations'!C99&lt;&gt;"OK","",'Case calculations'!A99)</f>
        <v>S-004</v>
      </c>
      <c r="B285" s="1" t="str">
        <f>IF(A285="","",'Case calculations'!B99)</f>
        <v>HEARING</v>
      </c>
      <c r="C285" s="1" t="str">
        <f>IF(A285="","","INITIAL")</f>
        <v>INITIAL</v>
      </c>
      <c r="D285" s="19">
        <f>IF(A285="","",'Case calculations'!N99)</f>
        <v>0</v>
      </c>
      <c r="E285" s="10">
        <f>IF(A285="","",Assumptions!$B$28)</f>
        <v>2000</v>
      </c>
      <c r="F285" s="10">
        <f t="shared" si="4"/>
        <v>0</v>
      </c>
      <c r="G285" s="7" t="str">
        <f>IF(A285="","",IF(D285=0,"",'Case calculations'!V99))</f>
        <v/>
      </c>
      <c r="H285" s="1" t="str">
        <f>IF(A285="","",IF(D285=0,"NO PATH",IF(G285&lt;Assumptions!$B$5,"BEFORE AS-OF",IF(G285&gt;=Assumptions!$B$7,"BEYOND HORIZON","IN HORIZON"))))</f>
        <v>NO PATH</v>
      </c>
    </row>
    <row r="286" spans="1:8" ht="22" customHeight="1">
      <c r="A286" s="1" t="str">
        <f>IF('Case calculations'!C99&lt;&gt;"OK","",'Case calculations'!A99)</f>
        <v>S-004</v>
      </c>
      <c r="B286" s="1" t="str">
        <f>IF(A286="","",'Case calculations'!B99)</f>
        <v>HEARING</v>
      </c>
      <c r="C286" s="1" t="str">
        <f>IF(A286="","","RECON")</f>
        <v>RECON</v>
      </c>
      <c r="D286" s="19">
        <f>IF(A286="","",'Case calculations'!O99)</f>
        <v>0</v>
      </c>
      <c r="E286" s="10">
        <f>IF(A286="","",Assumptions!$B$29)</f>
        <v>3000</v>
      </c>
      <c r="F286" s="10">
        <f t="shared" si="4"/>
        <v>0</v>
      </c>
      <c r="G286" s="7" t="str">
        <f>IF(A286="","",IF(D286=0,"",'Case calculations'!W99))</f>
        <v/>
      </c>
      <c r="H286" s="1" t="str">
        <f>IF(A286="","",IF(D286=0,"NO PATH",IF(G286&lt;Assumptions!$B$5,"BEFORE AS-OF",IF(G286&gt;=Assumptions!$B$7,"BEYOND HORIZON","IN HORIZON"))))</f>
        <v>NO PATH</v>
      </c>
    </row>
    <row r="287" spans="1:8" ht="22" customHeight="1">
      <c r="A287" s="1" t="str">
        <f>IF('Case calculations'!C99&lt;&gt;"OK","",'Case calculations'!A99)</f>
        <v>S-004</v>
      </c>
      <c r="B287" s="1" t="str">
        <f>IF(A287="","",'Case calculations'!B99)</f>
        <v>HEARING</v>
      </c>
      <c r="C287" s="1" t="str">
        <f>IF(A287="","","HEARING")</f>
        <v>HEARING</v>
      </c>
      <c r="D287" s="19">
        <f>IF(A287="","",'Case calculations'!S99)</f>
        <v>0.55000000000000004</v>
      </c>
      <c r="E287" s="10">
        <f>IF(A287="","",Assumptions!$B$30)</f>
        <v>4500</v>
      </c>
      <c r="F287" s="10">
        <f t="shared" si="4"/>
        <v>2475</v>
      </c>
      <c r="G287" s="7">
        <f>IF(A287="","",IF(D287=0,"",'Case calculations'!X99))</f>
        <v>46419</v>
      </c>
      <c r="H287" s="1" t="str">
        <f>IF(A287="","",IF(D287=0,"NO PATH",IF(G287&lt;Assumptions!$B$5,"BEFORE AS-OF",IF(G287&gt;=Assumptions!$B$7,"BEYOND HORIZON","IN HORIZON"))))</f>
        <v>IN HORIZON</v>
      </c>
    </row>
    <row r="288" spans="1:8" ht="22" customHeight="1">
      <c r="A288" s="1" t="str">
        <f>IF('Case calculations'!C100&lt;&gt;"OK","",'Case calculations'!A100)</f>
        <v>S-005</v>
      </c>
      <c r="B288" s="1" t="str">
        <f>IF(A288="","",'Case calculations'!B100)</f>
        <v>HEARING</v>
      </c>
      <c r="C288" s="1" t="str">
        <f>IF(A288="","","INITIAL")</f>
        <v>INITIAL</v>
      </c>
      <c r="D288" s="19">
        <f>IF(A288="","",'Case calculations'!N100)</f>
        <v>0</v>
      </c>
      <c r="E288" s="10">
        <f>IF(A288="","",Assumptions!$B$28)</f>
        <v>2000</v>
      </c>
      <c r="F288" s="10">
        <f t="shared" si="4"/>
        <v>0</v>
      </c>
      <c r="G288" s="7" t="str">
        <f>IF(A288="","",IF(D288=0,"",'Case calculations'!V100))</f>
        <v/>
      </c>
      <c r="H288" s="1" t="str">
        <f>IF(A288="","",IF(D288=0,"NO PATH",IF(G288&lt;Assumptions!$B$5,"BEFORE AS-OF",IF(G288&gt;=Assumptions!$B$7,"BEYOND HORIZON","IN HORIZON"))))</f>
        <v>NO PATH</v>
      </c>
    </row>
    <row r="289" spans="1:8" ht="22" customHeight="1">
      <c r="A289" s="1" t="str">
        <f>IF('Case calculations'!C100&lt;&gt;"OK","",'Case calculations'!A100)</f>
        <v>S-005</v>
      </c>
      <c r="B289" s="1" t="str">
        <f>IF(A289="","",'Case calculations'!B100)</f>
        <v>HEARING</v>
      </c>
      <c r="C289" s="1" t="str">
        <f>IF(A289="","","RECON")</f>
        <v>RECON</v>
      </c>
      <c r="D289" s="19">
        <f>IF(A289="","",'Case calculations'!O100)</f>
        <v>0</v>
      </c>
      <c r="E289" s="10">
        <f>IF(A289="","",Assumptions!$B$29)</f>
        <v>3000</v>
      </c>
      <c r="F289" s="10">
        <f t="shared" si="4"/>
        <v>0</v>
      </c>
      <c r="G289" s="7" t="str">
        <f>IF(A289="","",IF(D289=0,"",'Case calculations'!W100))</f>
        <v/>
      </c>
      <c r="H289" s="1" t="str">
        <f>IF(A289="","",IF(D289=0,"NO PATH",IF(G289&lt;Assumptions!$B$5,"BEFORE AS-OF",IF(G289&gt;=Assumptions!$B$7,"BEYOND HORIZON","IN HORIZON"))))</f>
        <v>NO PATH</v>
      </c>
    </row>
    <row r="290" spans="1:8" ht="22" customHeight="1">
      <c r="A290" s="1" t="str">
        <f>IF('Case calculations'!C100&lt;&gt;"OK","",'Case calculations'!A100)</f>
        <v>S-005</v>
      </c>
      <c r="B290" s="1" t="str">
        <f>IF(A290="","",'Case calculations'!B100)</f>
        <v>HEARING</v>
      </c>
      <c r="C290" s="1" t="str">
        <f>IF(A290="","","HEARING")</f>
        <v>HEARING</v>
      </c>
      <c r="D290" s="19">
        <f>IF(A290="","",'Case calculations'!S100)</f>
        <v>0.55000000000000004</v>
      </c>
      <c r="E290" s="10">
        <f>IF(A290="","",Assumptions!$B$30)</f>
        <v>4500</v>
      </c>
      <c r="F290" s="10">
        <f t="shared" si="4"/>
        <v>2475</v>
      </c>
      <c r="G290" s="7">
        <f>IF(A290="","",IF(D290=0,"",'Case calculations'!X100))</f>
        <v>46419</v>
      </c>
      <c r="H290" s="1" t="str">
        <f>IF(A290="","",IF(D290=0,"NO PATH",IF(G290&lt;Assumptions!$B$5,"BEFORE AS-OF",IF(G290&gt;=Assumptions!$B$7,"BEYOND HORIZON","IN HORIZON"))))</f>
        <v>IN HORIZON</v>
      </c>
    </row>
    <row r="291" spans="1:8" ht="22" customHeight="1">
      <c r="A291" s="1" t="str">
        <f>IF('Case calculations'!C101&lt;&gt;"OK","",'Case calculations'!A101)</f>
        <v>S-006</v>
      </c>
      <c r="B291" s="1" t="str">
        <f>IF(A291="","",'Case calculations'!B101)</f>
        <v>HEARING</v>
      </c>
      <c r="C291" s="1" t="str">
        <f>IF(A291="","","INITIAL")</f>
        <v>INITIAL</v>
      </c>
      <c r="D291" s="19">
        <f>IF(A291="","",'Case calculations'!N101)</f>
        <v>0</v>
      </c>
      <c r="E291" s="10">
        <f>IF(A291="","",Assumptions!$B$28)</f>
        <v>2000</v>
      </c>
      <c r="F291" s="10">
        <f t="shared" si="4"/>
        <v>0</v>
      </c>
      <c r="G291" s="7" t="str">
        <f>IF(A291="","",IF(D291=0,"",'Case calculations'!V101))</f>
        <v/>
      </c>
      <c r="H291" s="1" t="str">
        <f>IF(A291="","",IF(D291=0,"NO PATH",IF(G291&lt;Assumptions!$B$5,"BEFORE AS-OF",IF(G291&gt;=Assumptions!$B$7,"BEYOND HORIZON","IN HORIZON"))))</f>
        <v>NO PATH</v>
      </c>
    </row>
    <row r="292" spans="1:8" ht="22" customHeight="1">
      <c r="A292" s="1" t="str">
        <f>IF('Case calculations'!C101&lt;&gt;"OK","",'Case calculations'!A101)</f>
        <v>S-006</v>
      </c>
      <c r="B292" s="1" t="str">
        <f>IF(A292="","",'Case calculations'!B101)</f>
        <v>HEARING</v>
      </c>
      <c r="C292" s="1" t="str">
        <f>IF(A292="","","RECON")</f>
        <v>RECON</v>
      </c>
      <c r="D292" s="19">
        <f>IF(A292="","",'Case calculations'!O101)</f>
        <v>0</v>
      </c>
      <c r="E292" s="10">
        <f>IF(A292="","",Assumptions!$B$29)</f>
        <v>3000</v>
      </c>
      <c r="F292" s="10">
        <f t="shared" si="4"/>
        <v>0</v>
      </c>
      <c r="G292" s="7" t="str">
        <f>IF(A292="","",IF(D292=0,"",'Case calculations'!W101))</f>
        <v/>
      </c>
      <c r="H292" s="1" t="str">
        <f>IF(A292="","",IF(D292=0,"NO PATH",IF(G292&lt;Assumptions!$B$5,"BEFORE AS-OF",IF(G292&gt;=Assumptions!$B$7,"BEYOND HORIZON","IN HORIZON"))))</f>
        <v>NO PATH</v>
      </c>
    </row>
    <row r="293" spans="1:8" ht="22" customHeight="1">
      <c r="A293" s="1" t="str">
        <f>IF('Case calculations'!C101&lt;&gt;"OK","",'Case calculations'!A101)</f>
        <v>S-006</v>
      </c>
      <c r="B293" s="1" t="str">
        <f>IF(A293="","",'Case calculations'!B101)</f>
        <v>HEARING</v>
      </c>
      <c r="C293" s="1" t="str">
        <f>IF(A293="","","HEARING")</f>
        <v>HEARING</v>
      </c>
      <c r="D293" s="19">
        <f>IF(A293="","",'Case calculations'!S101)</f>
        <v>0.55000000000000004</v>
      </c>
      <c r="E293" s="10">
        <f>IF(A293="","",Assumptions!$B$30)</f>
        <v>4500</v>
      </c>
      <c r="F293" s="10">
        <f t="shared" si="4"/>
        <v>2475</v>
      </c>
      <c r="G293" s="7">
        <f>IF(A293="","",IF(D293=0,"",'Case calculations'!X101))</f>
        <v>46447</v>
      </c>
      <c r="H293" s="1" t="str">
        <f>IF(A293="","",IF(D293=0,"NO PATH",IF(G293&lt;Assumptions!$B$5,"BEFORE AS-OF",IF(G293&gt;=Assumptions!$B$7,"BEYOND HORIZON","IN HORIZON"))))</f>
        <v>IN HORIZON</v>
      </c>
    </row>
    <row r="294" spans="1:8" ht="22" customHeight="1">
      <c r="A294" s="1" t="str">
        <f>IF('Case calculations'!C102&lt;&gt;"OK","",'Case calculations'!A102)</f>
        <v>S-007</v>
      </c>
      <c r="B294" s="1" t="str">
        <f>IF(A294="","",'Case calculations'!B102)</f>
        <v>HEARING</v>
      </c>
      <c r="C294" s="1" t="str">
        <f>IF(A294="","","INITIAL")</f>
        <v>INITIAL</v>
      </c>
      <c r="D294" s="19">
        <f>IF(A294="","",'Case calculations'!N102)</f>
        <v>0</v>
      </c>
      <c r="E294" s="10">
        <f>IF(A294="","",Assumptions!$B$28)</f>
        <v>2000</v>
      </c>
      <c r="F294" s="10">
        <f t="shared" si="4"/>
        <v>0</v>
      </c>
      <c r="G294" s="7" t="str">
        <f>IF(A294="","",IF(D294=0,"",'Case calculations'!V102))</f>
        <v/>
      </c>
      <c r="H294" s="1" t="str">
        <f>IF(A294="","",IF(D294=0,"NO PATH",IF(G294&lt;Assumptions!$B$5,"BEFORE AS-OF",IF(G294&gt;=Assumptions!$B$7,"BEYOND HORIZON","IN HORIZON"))))</f>
        <v>NO PATH</v>
      </c>
    </row>
    <row r="295" spans="1:8" ht="22" customHeight="1">
      <c r="A295" s="1" t="str">
        <f>IF('Case calculations'!C102&lt;&gt;"OK","",'Case calculations'!A102)</f>
        <v>S-007</v>
      </c>
      <c r="B295" s="1" t="str">
        <f>IF(A295="","",'Case calculations'!B102)</f>
        <v>HEARING</v>
      </c>
      <c r="C295" s="1" t="str">
        <f>IF(A295="","","RECON")</f>
        <v>RECON</v>
      </c>
      <c r="D295" s="19">
        <f>IF(A295="","",'Case calculations'!O102)</f>
        <v>0</v>
      </c>
      <c r="E295" s="10">
        <f>IF(A295="","",Assumptions!$B$29)</f>
        <v>3000</v>
      </c>
      <c r="F295" s="10">
        <f t="shared" si="4"/>
        <v>0</v>
      </c>
      <c r="G295" s="7" t="str">
        <f>IF(A295="","",IF(D295=0,"",'Case calculations'!W102))</f>
        <v/>
      </c>
      <c r="H295" s="1" t="str">
        <f>IF(A295="","",IF(D295=0,"NO PATH",IF(G295&lt;Assumptions!$B$5,"BEFORE AS-OF",IF(G295&gt;=Assumptions!$B$7,"BEYOND HORIZON","IN HORIZON"))))</f>
        <v>NO PATH</v>
      </c>
    </row>
    <row r="296" spans="1:8" ht="22" customHeight="1">
      <c r="A296" s="1" t="str">
        <f>IF('Case calculations'!C102&lt;&gt;"OK","",'Case calculations'!A102)</f>
        <v>S-007</v>
      </c>
      <c r="B296" s="1" t="str">
        <f>IF(A296="","",'Case calculations'!B102)</f>
        <v>HEARING</v>
      </c>
      <c r="C296" s="1" t="str">
        <f>IF(A296="","","HEARING")</f>
        <v>HEARING</v>
      </c>
      <c r="D296" s="19">
        <f>IF(A296="","",'Case calculations'!S102)</f>
        <v>0.55000000000000004</v>
      </c>
      <c r="E296" s="10">
        <f>IF(A296="","",Assumptions!$B$30)</f>
        <v>4500</v>
      </c>
      <c r="F296" s="10">
        <f t="shared" si="4"/>
        <v>2475</v>
      </c>
      <c r="G296" s="7">
        <f>IF(A296="","",IF(D296=0,"",'Case calculations'!X102))</f>
        <v>46447</v>
      </c>
      <c r="H296" s="1" t="str">
        <f>IF(A296="","",IF(D296=0,"NO PATH",IF(G296&lt;Assumptions!$B$5,"BEFORE AS-OF",IF(G296&gt;=Assumptions!$B$7,"BEYOND HORIZON","IN HORIZON"))))</f>
        <v>IN HORIZON</v>
      </c>
    </row>
    <row r="297" spans="1:8" ht="22" customHeight="1">
      <c r="A297" s="1" t="str">
        <f>IF('Case calculations'!C103&lt;&gt;"OK","",'Case calculations'!A103)</f>
        <v>S-008</v>
      </c>
      <c r="B297" s="1" t="str">
        <f>IF(A297="","",'Case calculations'!B103)</f>
        <v>HEARING</v>
      </c>
      <c r="C297" s="1" t="str">
        <f>IF(A297="","","INITIAL")</f>
        <v>INITIAL</v>
      </c>
      <c r="D297" s="19">
        <f>IF(A297="","",'Case calculations'!N103)</f>
        <v>0</v>
      </c>
      <c r="E297" s="10">
        <f>IF(A297="","",Assumptions!$B$28)</f>
        <v>2000</v>
      </c>
      <c r="F297" s="10">
        <f t="shared" si="4"/>
        <v>0</v>
      </c>
      <c r="G297" s="7" t="str">
        <f>IF(A297="","",IF(D297=0,"",'Case calculations'!V103))</f>
        <v/>
      </c>
      <c r="H297" s="1" t="str">
        <f>IF(A297="","",IF(D297=0,"NO PATH",IF(G297&lt;Assumptions!$B$5,"BEFORE AS-OF",IF(G297&gt;=Assumptions!$B$7,"BEYOND HORIZON","IN HORIZON"))))</f>
        <v>NO PATH</v>
      </c>
    </row>
    <row r="298" spans="1:8" ht="22" customHeight="1">
      <c r="A298" s="1" t="str">
        <f>IF('Case calculations'!C103&lt;&gt;"OK","",'Case calculations'!A103)</f>
        <v>S-008</v>
      </c>
      <c r="B298" s="1" t="str">
        <f>IF(A298="","",'Case calculations'!B103)</f>
        <v>HEARING</v>
      </c>
      <c r="C298" s="1" t="str">
        <f>IF(A298="","","RECON")</f>
        <v>RECON</v>
      </c>
      <c r="D298" s="19">
        <f>IF(A298="","",'Case calculations'!O103)</f>
        <v>0</v>
      </c>
      <c r="E298" s="10">
        <f>IF(A298="","",Assumptions!$B$29)</f>
        <v>3000</v>
      </c>
      <c r="F298" s="10">
        <f t="shared" si="4"/>
        <v>0</v>
      </c>
      <c r="G298" s="7" t="str">
        <f>IF(A298="","",IF(D298=0,"",'Case calculations'!W103))</f>
        <v/>
      </c>
      <c r="H298" s="1" t="str">
        <f>IF(A298="","",IF(D298=0,"NO PATH",IF(G298&lt;Assumptions!$B$5,"BEFORE AS-OF",IF(G298&gt;=Assumptions!$B$7,"BEYOND HORIZON","IN HORIZON"))))</f>
        <v>NO PATH</v>
      </c>
    </row>
    <row r="299" spans="1:8" ht="22" customHeight="1">
      <c r="A299" s="1" t="str">
        <f>IF('Case calculations'!C103&lt;&gt;"OK","",'Case calculations'!A103)</f>
        <v>S-008</v>
      </c>
      <c r="B299" s="1" t="str">
        <f>IF(A299="","",'Case calculations'!B103)</f>
        <v>HEARING</v>
      </c>
      <c r="C299" s="1" t="str">
        <f>IF(A299="","","HEARING")</f>
        <v>HEARING</v>
      </c>
      <c r="D299" s="19">
        <f>IF(A299="","",'Case calculations'!S103)</f>
        <v>0.55000000000000004</v>
      </c>
      <c r="E299" s="10">
        <f>IF(A299="","",Assumptions!$B$30)</f>
        <v>4500</v>
      </c>
      <c r="F299" s="10">
        <f t="shared" si="4"/>
        <v>2475</v>
      </c>
      <c r="G299" s="7">
        <f>IF(A299="","",IF(D299=0,"",'Case calculations'!X103))</f>
        <v>46447</v>
      </c>
      <c r="H299" s="1" t="str">
        <f>IF(A299="","",IF(D299=0,"NO PATH",IF(G299&lt;Assumptions!$B$5,"BEFORE AS-OF",IF(G299&gt;=Assumptions!$B$7,"BEYOND HORIZON","IN HORIZON"))))</f>
        <v>IN HORIZON</v>
      </c>
    </row>
    <row r="300" spans="1:8" ht="22" customHeight="1">
      <c r="A300" s="1" t="str">
        <f>IF('Case calculations'!C104&lt;&gt;"OK","",'Case calculations'!A104)</f>
        <v>S-009</v>
      </c>
      <c r="B300" s="1" t="str">
        <f>IF(A300="","",'Case calculations'!B104)</f>
        <v>HEARING</v>
      </c>
      <c r="C300" s="1" t="str">
        <f>IF(A300="","","INITIAL")</f>
        <v>INITIAL</v>
      </c>
      <c r="D300" s="19">
        <f>IF(A300="","",'Case calculations'!N104)</f>
        <v>0</v>
      </c>
      <c r="E300" s="10">
        <f>IF(A300="","",Assumptions!$B$28)</f>
        <v>2000</v>
      </c>
      <c r="F300" s="10">
        <f t="shared" si="4"/>
        <v>0</v>
      </c>
      <c r="G300" s="7" t="str">
        <f>IF(A300="","",IF(D300=0,"",'Case calculations'!V104))</f>
        <v/>
      </c>
      <c r="H300" s="1" t="str">
        <f>IF(A300="","",IF(D300=0,"NO PATH",IF(G300&lt;Assumptions!$B$5,"BEFORE AS-OF",IF(G300&gt;=Assumptions!$B$7,"BEYOND HORIZON","IN HORIZON"))))</f>
        <v>NO PATH</v>
      </c>
    </row>
    <row r="301" spans="1:8" ht="22" customHeight="1">
      <c r="A301" s="1" t="str">
        <f>IF('Case calculations'!C104&lt;&gt;"OK","",'Case calculations'!A104)</f>
        <v>S-009</v>
      </c>
      <c r="B301" s="1" t="str">
        <f>IF(A301="","",'Case calculations'!B104)</f>
        <v>HEARING</v>
      </c>
      <c r="C301" s="1" t="str">
        <f>IF(A301="","","RECON")</f>
        <v>RECON</v>
      </c>
      <c r="D301" s="19">
        <f>IF(A301="","",'Case calculations'!O104)</f>
        <v>0</v>
      </c>
      <c r="E301" s="10">
        <f>IF(A301="","",Assumptions!$B$29)</f>
        <v>3000</v>
      </c>
      <c r="F301" s="10">
        <f t="shared" si="4"/>
        <v>0</v>
      </c>
      <c r="G301" s="7" t="str">
        <f>IF(A301="","",IF(D301=0,"",'Case calculations'!W104))</f>
        <v/>
      </c>
      <c r="H301" s="1" t="str">
        <f>IF(A301="","",IF(D301=0,"NO PATH",IF(G301&lt;Assumptions!$B$5,"BEFORE AS-OF",IF(G301&gt;=Assumptions!$B$7,"BEYOND HORIZON","IN HORIZON"))))</f>
        <v>NO PATH</v>
      </c>
    </row>
    <row r="302" spans="1:8" ht="22" customHeight="1">
      <c r="A302" s="1" t="str">
        <f>IF('Case calculations'!C104&lt;&gt;"OK","",'Case calculations'!A104)</f>
        <v>S-009</v>
      </c>
      <c r="B302" s="1" t="str">
        <f>IF(A302="","",'Case calculations'!B104)</f>
        <v>HEARING</v>
      </c>
      <c r="C302" s="1" t="str">
        <f>IF(A302="","","HEARING")</f>
        <v>HEARING</v>
      </c>
      <c r="D302" s="19">
        <f>IF(A302="","",'Case calculations'!S104)</f>
        <v>0.55000000000000004</v>
      </c>
      <c r="E302" s="10">
        <f>IF(A302="","",Assumptions!$B$30)</f>
        <v>4500</v>
      </c>
      <c r="F302" s="10">
        <f t="shared" si="4"/>
        <v>2475</v>
      </c>
      <c r="G302" s="7">
        <f>IF(A302="","",IF(D302=0,"",'Case calculations'!X104))</f>
        <v>46447</v>
      </c>
      <c r="H302" s="1" t="str">
        <f>IF(A302="","",IF(D302=0,"NO PATH",IF(G302&lt;Assumptions!$B$5,"BEFORE AS-OF",IF(G302&gt;=Assumptions!$B$7,"BEYOND HORIZON","IN HORIZON"))))</f>
        <v>IN HORIZON</v>
      </c>
    </row>
    <row r="303" spans="1:8" ht="22" customHeight="1">
      <c r="A303" s="1" t="str">
        <f>IF('Case calculations'!C105&lt;&gt;"OK","",'Case calculations'!A105)</f>
        <v>S-010</v>
      </c>
      <c r="B303" s="1" t="str">
        <f>IF(A303="","",'Case calculations'!B105)</f>
        <v>HEARING</v>
      </c>
      <c r="C303" s="1" t="str">
        <f>IF(A303="","","INITIAL")</f>
        <v>INITIAL</v>
      </c>
      <c r="D303" s="19">
        <f>IF(A303="","",'Case calculations'!N105)</f>
        <v>0</v>
      </c>
      <c r="E303" s="10">
        <f>IF(A303="","",Assumptions!$B$28)</f>
        <v>2000</v>
      </c>
      <c r="F303" s="10">
        <f t="shared" si="4"/>
        <v>0</v>
      </c>
      <c r="G303" s="7" t="str">
        <f>IF(A303="","",IF(D303=0,"",'Case calculations'!V105))</f>
        <v/>
      </c>
      <c r="H303" s="1" t="str">
        <f>IF(A303="","",IF(D303=0,"NO PATH",IF(G303&lt;Assumptions!$B$5,"BEFORE AS-OF",IF(G303&gt;=Assumptions!$B$7,"BEYOND HORIZON","IN HORIZON"))))</f>
        <v>NO PATH</v>
      </c>
    </row>
    <row r="304" spans="1:8" ht="22" customHeight="1">
      <c r="A304" s="1" t="str">
        <f>IF('Case calculations'!C105&lt;&gt;"OK","",'Case calculations'!A105)</f>
        <v>S-010</v>
      </c>
      <c r="B304" s="1" t="str">
        <f>IF(A304="","",'Case calculations'!B105)</f>
        <v>HEARING</v>
      </c>
      <c r="C304" s="1" t="str">
        <f>IF(A304="","","RECON")</f>
        <v>RECON</v>
      </c>
      <c r="D304" s="19">
        <f>IF(A304="","",'Case calculations'!O105)</f>
        <v>0</v>
      </c>
      <c r="E304" s="10">
        <f>IF(A304="","",Assumptions!$B$29)</f>
        <v>3000</v>
      </c>
      <c r="F304" s="10">
        <f t="shared" si="4"/>
        <v>0</v>
      </c>
      <c r="G304" s="7" t="str">
        <f>IF(A304="","",IF(D304=0,"",'Case calculations'!W105))</f>
        <v/>
      </c>
      <c r="H304" s="1" t="str">
        <f>IF(A304="","",IF(D304=0,"NO PATH",IF(G304&lt;Assumptions!$B$5,"BEFORE AS-OF",IF(G304&gt;=Assumptions!$B$7,"BEYOND HORIZON","IN HORIZON"))))</f>
        <v>NO PATH</v>
      </c>
    </row>
    <row r="305" spans="1:8" ht="22" customHeight="1">
      <c r="A305" s="1" t="str">
        <f>IF('Case calculations'!C105&lt;&gt;"OK","",'Case calculations'!A105)</f>
        <v>S-010</v>
      </c>
      <c r="B305" s="1" t="str">
        <f>IF(A305="","",'Case calculations'!B105)</f>
        <v>HEARING</v>
      </c>
      <c r="C305" s="1" t="str">
        <f>IF(A305="","","HEARING")</f>
        <v>HEARING</v>
      </c>
      <c r="D305" s="19">
        <f>IF(A305="","",'Case calculations'!S105)</f>
        <v>0.55000000000000004</v>
      </c>
      <c r="E305" s="10">
        <f>IF(A305="","",Assumptions!$B$30)</f>
        <v>4500</v>
      </c>
      <c r="F305" s="10">
        <f t="shared" si="4"/>
        <v>2475</v>
      </c>
      <c r="G305" s="7">
        <f>IF(A305="","",IF(D305=0,"",'Case calculations'!X105))</f>
        <v>46447</v>
      </c>
      <c r="H305" s="1" t="str">
        <f>IF(A305="","",IF(D305=0,"NO PATH",IF(G305&lt;Assumptions!$B$5,"BEFORE AS-OF",IF(G305&gt;=Assumptions!$B$7,"BEYOND HORIZON","IN HORIZON"))))</f>
        <v>IN HORIZON</v>
      </c>
    </row>
    <row r="306" spans="1:8" ht="22" customHeight="1">
      <c r="A306" s="1" t="str">
        <f>IF('Case calculations'!C106&lt;&gt;"OK","",'Case calculations'!A106)</f>
        <v/>
      </c>
      <c r="B306" s="1" t="str">
        <f>IF(A306="","",'Case calculations'!B106)</f>
        <v/>
      </c>
      <c r="C306" s="1" t="str">
        <f>IF(A306="","","INITIAL")</f>
        <v/>
      </c>
      <c r="D306" s="19" t="str">
        <f>IF(A306="","",'Case calculations'!N106)</f>
        <v/>
      </c>
      <c r="E306" s="10" t="str">
        <f>IF(A306="","",Assumptions!$B$28)</f>
        <v/>
      </c>
      <c r="F306" s="10" t="str">
        <f t="shared" si="4"/>
        <v/>
      </c>
      <c r="G306" s="7" t="str">
        <f>IF(A306="","",IF(D306=0,"",'Case calculations'!V106))</f>
        <v/>
      </c>
      <c r="H306" s="1" t="str">
        <f>IF(A306="","",IF(D306=0,"NO PATH",IF(G306&lt;Assumptions!$B$5,"BEFORE AS-OF",IF(G306&gt;=Assumptions!$B$7,"BEYOND HORIZON","IN HORIZON"))))</f>
        <v/>
      </c>
    </row>
    <row r="307" spans="1:8" ht="22" customHeight="1">
      <c r="A307" s="1" t="str">
        <f>IF('Case calculations'!C106&lt;&gt;"OK","",'Case calculations'!A106)</f>
        <v/>
      </c>
      <c r="B307" s="1" t="str">
        <f>IF(A307="","",'Case calculations'!B106)</f>
        <v/>
      </c>
      <c r="C307" s="1" t="str">
        <f>IF(A307="","","RECON")</f>
        <v/>
      </c>
      <c r="D307" s="19" t="str">
        <f>IF(A307="","",'Case calculations'!O106)</f>
        <v/>
      </c>
      <c r="E307" s="10" t="str">
        <f>IF(A307="","",Assumptions!$B$29)</f>
        <v/>
      </c>
      <c r="F307" s="10" t="str">
        <f t="shared" si="4"/>
        <v/>
      </c>
      <c r="G307" s="7" t="str">
        <f>IF(A307="","",IF(D307=0,"",'Case calculations'!W106))</f>
        <v/>
      </c>
      <c r="H307" s="1" t="str">
        <f>IF(A307="","",IF(D307=0,"NO PATH",IF(G307&lt;Assumptions!$B$5,"BEFORE AS-OF",IF(G307&gt;=Assumptions!$B$7,"BEYOND HORIZON","IN HORIZON"))))</f>
        <v/>
      </c>
    </row>
    <row r="308" spans="1:8" ht="22" customHeight="1">
      <c r="A308" s="1" t="str">
        <f>IF('Case calculations'!C106&lt;&gt;"OK","",'Case calculations'!A106)</f>
        <v/>
      </c>
      <c r="B308" s="1" t="str">
        <f>IF(A308="","",'Case calculations'!B106)</f>
        <v/>
      </c>
      <c r="C308" s="1" t="str">
        <f>IF(A308="","","HEARING")</f>
        <v/>
      </c>
      <c r="D308" s="19" t="str">
        <f>IF(A308="","",'Case calculations'!S106)</f>
        <v/>
      </c>
      <c r="E308" s="10" t="str">
        <f>IF(A308="","",Assumptions!$B$30)</f>
        <v/>
      </c>
      <c r="F308" s="10" t="str">
        <f t="shared" si="4"/>
        <v/>
      </c>
      <c r="G308" s="7" t="str">
        <f>IF(A308="","",IF(D308=0,"",'Case calculations'!X106))</f>
        <v/>
      </c>
      <c r="H308" s="1" t="str">
        <f>IF(A308="","",IF(D308=0,"NO PATH",IF(G308&lt;Assumptions!$B$5,"BEFORE AS-OF",IF(G308&gt;=Assumptions!$B$7,"BEYOND HORIZON","IN HORIZON"))))</f>
        <v/>
      </c>
    </row>
    <row r="309" spans="1:8" ht="22" customHeight="1">
      <c r="A309" s="1" t="str">
        <f>IF('Case calculations'!C107&lt;&gt;"OK","",'Case calculations'!A107)</f>
        <v/>
      </c>
      <c r="B309" s="1" t="str">
        <f>IF(A309="","",'Case calculations'!B107)</f>
        <v/>
      </c>
      <c r="C309" s="1" t="str">
        <f>IF(A309="","","INITIAL")</f>
        <v/>
      </c>
      <c r="D309" s="19" t="str">
        <f>IF(A309="","",'Case calculations'!N107)</f>
        <v/>
      </c>
      <c r="E309" s="10" t="str">
        <f>IF(A309="","",Assumptions!$B$28)</f>
        <v/>
      </c>
      <c r="F309" s="10" t="str">
        <f t="shared" si="4"/>
        <v/>
      </c>
      <c r="G309" s="7" t="str">
        <f>IF(A309="","",IF(D309=0,"",'Case calculations'!V107))</f>
        <v/>
      </c>
      <c r="H309" s="1" t="str">
        <f>IF(A309="","",IF(D309=0,"NO PATH",IF(G309&lt;Assumptions!$B$5,"BEFORE AS-OF",IF(G309&gt;=Assumptions!$B$7,"BEYOND HORIZON","IN HORIZON"))))</f>
        <v/>
      </c>
    </row>
    <row r="310" spans="1:8" ht="22" customHeight="1">
      <c r="A310" s="1" t="str">
        <f>IF('Case calculations'!C107&lt;&gt;"OK","",'Case calculations'!A107)</f>
        <v/>
      </c>
      <c r="B310" s="1" t="str">
        <f>IF(A310="","",'Case calculations'!B107)</f>
        <v/>
      </c>
      <c r="C310" s="1" t="str">
        <f>IF(A310="","","RECON")</f>
        <v/>
      </c>
      <c r="D310" s="19" t="str">
        <f>IF(A310="","",'Case calculations'!O107)</f>
        <v/>
      </c>
      <c r="E310" s="10" t="str">
        <f>IF(A310="","",Assumptions!$B$29)</f>
        <v/>
      </c>
      <c r="F310" s="10" t="str">
        <f t="shared" si="4"/>
        <v/>
      </c>
      <c r="G310" s="7" t="str">
        <f>IF(A310="","",IF(D310=0,"",'Case calculations'!W107))</f>
        <v/>
      </c>
      <c r="H310" s="1" t="str">
        <f>IF(A310="","",IF(D310=0,"NO PATH",IF(G310&lt;Assumptions!$B$5,"BEFORE AS-OF",IF(G310&gt;=Assumptions!$B$7,"BEYOND HORIZON","IN HORIZON"))))</f>
        <v/>
      </c>
    </row>
    <row r="311" spans="1:8" ht="22" customHeight="1">
      <c r="A311" s="1" t="str">
        <f>IF('Case calculations'!C107&lt;&gt;"OK","",'Case calculations'!A107)</f>
        <v/>
      </c>
      <c r="B311" s="1" t="str">
        <f>IF(A311="","",'Case calculations'!B107)</f>
        <v/>
      </c>
      <c r="C311" s="1" t="str">
        <f>IF(A311="","","HEARING")</f>
        <v/>
      </c>
      <c r="D311" s="19" t="str">
        <f>IF(A311="","",'Case calculations'!S107)</f>
        <v/>
      </c>
      <c r="E311" s="10" t="str">
        <f>IF(A311="","",Assumptions!$B$30)</f>
        <v/>
      </c>
      <c r="F311" s="10" t="str">
        <f t="shared" si="4"/>
        <v/>
      </c>
      <c r="G311" s="7" t="str">
        <f>IF(A311="","",IF(D311=0,"",'Case calculations'!X107))</f>
        <v/>
      </c>
      <c r="H311" s="1" t="str">
        <f>IF(A311="","",IF(D311=0,"NO PATH",IF(G311&lt;Assumptions!$B$5,"BEFORE AS-OF",IF(G311&gt;=Assumptions!$B$7,"BEYOND HORIZON","IN HORIZON"))))</f>
        <v/>
      </c>
    </row>
    <row r="312" spans="1:8" ht="22" customHeight="1">
      <c r="A312" s="1" t="str">
        <f>IF('Case calculations'!C108&lt;&gt;"OK","",'Case calculations'!A108)</f>
        <v/>
      </c>
      <c r="B312" s="1" t="str">
        <f>IF(A312="","",'Case calculations'!B108)</f>
        <v/>
      </c>
      <c r="C312" s="1" t="str">
        <f>IF(A312="","","INITIAL")</f>
        <v/>
      </c>
      <c r="D312" s="19" t="str">
        <f>IF(A312="","",'Case calculations'!N108)</f>
        <v/>
      </c>
      <c r="E312" s="10" t="str">
        <f>IF(A312="","",Assumptions!$B$28)</f>
        <v/>
      </c>
      <c r="F312" s="10" t="str">
        <f t="shared" si="4"/>
        <v/>
      </c>
      <c r="G312" s="7" t="str">
        <f>IF(A312="","",IF(D312=0,"",'Case calculations'!V108))</f>
        <v/>
      </c>
      <c r="H312" s="1" t="str">
        <f>IF(A312="","",IF(D312=0,"NO PATH",IF(G312&lt;Assumptions!$B$5,"BEFORE AS-OF",IF(G312&gt;=Assumptions!$B$7,"BEYOND HORIZON","IN HORIZON"))))</f>
        <v/>
      </c>
    </row>
    <row r="313" spans="1:8" ht="22" customHeight="1">
      <c r="A313" s="1" t="str">
        <f>IF('Case calculations'!C108&lt;&gt;"OK","",'Case calculations'!A108)</f>
        <v/>
      </c>
      <c r="B313" s="1" t="str">
        <f>IF(A313="","",'Case calculations'!B108)</f>
        <v/>
      </c>
      <c r="C313" s="1" t="str">
        <f>IF(A313="","","RECON")</f>
        <v/>
      </c>
      <c r="D313" s="19" t="str">
        <f>IF(A313="","",'Case calculations'!O108)</f>
        <v/>
      </c>
      <c r="E313" s="10" t="str">
        <f>IF(A313="","",Assumptions!$B$29)</f>
        <v/>
      </c>
      <c r="F313" s="10" t="str">
        <f t="shared" si="4"/>
        <v/>
      </c>
      <c r="G313" s="7" t="str">
        <f>IF(A313="","",IF(D313=0,"",'Case calculations'!W108))</f>
        <v/>
      </c>
      <c r="H313" s="1" t="str">
        <f>IF(A313="","",IF(D313=0,"NO PATH",IF(G313&lt;Assumptions!$B$5,"BEFORE AS-OF",IF(G313&gt;=Assumptions!$B$7,"BEYOND HORIZON","IN HORIZON"))))</f>
        <v/>
      </c>
    </row>
    <row r="314" spans="1:8" ht="22" customHeight="1">
      <c r="A314" s="1" t="str">
        <f>IF('Case calculations'!C108&lt;&gt;"OK","",'Case calculations'!A108)</f>
        <v/>
      </c>
      <c r="B314" s="1" t="str">
        <f>IF(A314="","",'Case calculations'!B108)</f>
        <v/>
      </c>
      <c r="C314" s="1" t="str">
        <f>IF(A314="","","HEARING")</f>
        <v/>
      </c>
      <c r="D314" s="19" t="str">
        <f>IF(A314="","",'Case calculations'!S108)</f>
        <v/>
      </c>
      <c r="E314" s="10" t="str">
        <f>IF(A314="","",Assumptions!$B$30)</f>
        <v/>
      </c>
      <c r="F314" s="10" t="str">
        <f t="shared" si="4"/>
        <v/>
      </c>
      <c r="G314" s="7" t="str">
        <f>IF(A314="","",IF(D314=0,"",'Case calculations'!X108))</f>
        <v/>
      </c>
      <c r="H314" s="1" t="str">
        <f>IF(A314="","",IF(D314=0,"NO PATH",IF(G314&lt;Assumptions!$B$5,"BEFORE AS-OF",IF(G314&gt;=Assumptions!$B$7,"BEYOND HORIZON","IN HORIZON"))))</f>
        <v/>
      </c>
    </row>
    <row r="315" spans="1:8" ht="22" customHeight="1">
      <c r="A315" s="1" t="str">
        <f>IF('Case calculations'!C109&lt;&gt;"OK","",'Case calculations'!A109)</f>
        <v/>
      </c>
      <c r="B315" s="1" t="str">
        <f>IF(A315="","",'Case calculations'!B109)</f>
        <v/>
      </c>
      <c r="C315" s="1" t="str">
        <f>IF(A315="","","INITIAL")</f>
        <v/>
      </c>
      <c r="D315" s="19" t="str">
        <f>IF(A315="","",'Case calculations'!N109)</f>
        <v/>
      </c>
      <c r="E315" s="10" t="str">
        <f>IF(A315="","",Assumptions!$B$28)</f>
        <v/>
      </c>
      <c r="F315" s="10" t="str">
        <f t="shared" si="4"/>
        <v/>
      </c>
      <c r="G315" s="7" t="str">
        <f>IF(A315="","",IF(D315=0,"",'Case calculations'!V109))</f>
        <v/>
      </c>
      <c r="H315" s="1" t="str">
        <f>IF(A315="","",IF(D315=0,"NO PATH",IF(G315&lt;Assumptions!$B$5,"BEFORE AS-OF",IF(G315&gt;=Assumptions!$B$7,"BEYOND HORIZON","IN HORIZON"))))</f>
        <v/>
      </c>
    </row>
    <row r="316" spans="1:8" ht="22" customHeight="1">
      <c r="A316" s="1" t="str">
        <f>IF('Case calculations'!C109&lt;&gt;"OK","",'Case calculations'!A109)</f>
        <v/>
      </c>
      <c r="B316" s="1" t="str">
        <f>IF(A316="","",'Case calculations'!B109)</f>
        <v/>
      </c>
      <c r="C316" s="1" t="str">
        <f>IF(A316="","","RECON")</f>
        <v/>
      </c>
      <c r="D316" s="19" t="str">
        <f>IF(A316="","",'Case calculations'!O109)</f>
        <v/>
      </c>
      <c r="E316" s="10" t="str">
        <f>IF(A316="","",Assumptions!$B$29)</f>
        <v/>
      </c>
      <c r="F316" s="10" t="str">
        <f t="shared" si="4"/>
        <v/>
      </c>
      <c r="G316" s="7" t="str">
        <f>IF(A316="","",IF(D316=0,"",'Case calculations'!W109))</f>
        <v/>
      </c>
      <c r="H316" s="1" t="str">
        <f>IF(A316="","",IF(D316=0,"NO PATH",IF(G316&lt;Assumptions!$B$5,"BEFORE AS-OF",IF(G316&gt;=Assumptions!$B$7,"BEYOND HORIZON","IN HORIZON"))))</f>
        <v/>
      </c>
    </row>
    <row r="317" spans="1:8" ht="22" customHeight="1">
      <c r="A317" s="1" t="str">
        <f>IF('Case calculations'!C109&lt;&gt;"OK","",'Case calculations'!A109)</f>
        <v/>
      </c>
      <c r="B317" s="1" t="str">
        <f>IF(A317="","",'Case calculations'!B109)</f>
        <v/>
      </c>
      <c r="C317" s="1" t="str">
        <f>IF(A317="","","HEARING")</f>
        <v/>
      </c>
      <c r="D317" s="19" t="str">
        <f>IF(A317="","",'Case calculations'!S109)</f>
        <v/>
      </c>
      <c r="E317" s="10" t="str">
        <f>IF(A317="","",Assumptions!$B$30)</f>
        <v/>
      </c>
      <c r="F317" s="10" t="str">
        <f t="shared" si="4"/>
        <v/>
      </c>
      <c r="G317" s="7" t="str">
        <f>IF(A317="","",IF(D317=0,"",'Case calculations'!X109))</f>
        <v/>
      </c>
      <c r="H317" s="1" t="str">
        <f>IF(A317="","",IF(D317=0,"NO PATH",IF(G317&lt;Assumptions!$B$5,"BEFORE AS-OF",IF(G317&gt;=Assumptions!$B$7,"BEYOND HORIZON","IN HORIZON"))))</f>
        <v/>
      </c>
    </row>
    <row r="318" spans="1:8" ht="22" customHeight="1">
      <c r="A318" s="1" t="str">
        <f>IF('Case calculations'!C110&lt;&gt;"OK","",'Case calculations'!A110)</f>
        <v/>
      </c>
      <c r="B318" s="1" t="str">
        <f>IF(A318="","",'Case calculations'!B110)</f>
        <v/>
      </c>
      <c r="C318" s="1" t="str">
        <f>IF(A318="","","INITIAL")</f>
        <v/>
      </c>
      <c r="D318" s="19" t="str">
        <f>IF(A318="","",'Case calculations'!N110)</f>
        <v/>
      </c>
      <c r="E318" s="10" t="str">
        <f>IF(A318="","",Assumptions!$B$28)</f>
        <v/>
      </c>
      <c r="F318" s="10" t="str">
        <f t="shared" si="4"/>
        <v/>
      </c>
      <c r="G318" s="7" t="str">
        <f>IF(A318="","",IF(D318=0,"",'Case calculations'!V110))</f>
        <v/>
      </c>
      <c r="H318" s="1" t="str">
        <f>IF(A318="","",IF(D318=0,"NO PATH",IF(G318&lt;Assumptions!$B$5,"BEFORE AS-OF",IF(G318&gt;=Assumptions!$B$7,"BEYOND HORIZON","IN HORIZON"))))</f>
        <v/>
      </c>
    </row>
    <row r="319" spans="1:8" ht="22" customHeight="1">
      <c r="A319" s="1" t="str">
        <f>IF('Case calculations'!C110&lt;&gt;"OK","",'Case calculations'!A110)</f>
        <v/>
      </c>
      <c r="B319" s="1" t="str">
        <f>IF(A319="","",'Case calculations'!B110)</f>
        <v/>
      </c>
      <c r="C319" s="1" t="str">
        <f>IF(A319="","","RECON")</f>
        <v/>
      </c>
      <c r="D319" s="19" t="str">
        <f>IF(A319="","",'Case calculations'!O110)</f>
        <v/>
      </c>
      <c r="E319" s="10" t="str">
        <f>IF(A319="","",Assumptions!$B$29)</f>
        <v/>
      </c>
      <c r="F319" s="10" t="str">
        <f t="shared" si="4"/>
        <v/>
      </c>
      <c r="G319" s="7" t="str">
        <f>IF(A319="","",IF(D319=0,"",'Case calculations'!W110))</f>
        <v/>
      </c>
      <c r="H319" s="1" t="str">
        <f>IF(A319="","",IF(D319=0,"NO PATH",IF(G319&lt;Assumptions!$B$5,"BEFORE AS-OF",IF(G319&gt;=Assumptions!$B$7,"BEYOND HORIZON","IN HORIZON"))))</f>
        <v/>
      </c>
    </row>
    <row r="320" spans="1:8" ht="22" customHeight="1">
      <c r="A320" s="1" t="str">
        <f>IF('Case calculations'!C110&lt;&gt;"OK","",'Case calculations'!A110)</f>
        <v/>
      </c>
      <c r="B320" s="1" t="str">
        <f>IF(A320="","",'Case calculations'!B110)</f>
        <v/>
      </c>
      <c r="C320" s="1" t="str">
        <f>IF(A320="","","HEARING")</f>
        <v/>
      </c>
      <c r="D320" s="19" t="str">
        <f>IF(A320="","",'Case calculations'!S110)</f>
        <v/>
      </c>
      <c r="E320" s="10" t="str">
        <f>IF(A320="","",Assumptions!$B$30)</f>
        <v/>
      </c>
      <c r="F320" s="10" t="str">
        <f t="shared" si="4"/>
        <v/>
      </c>
      <c r="G320" s="7" t="str">
        <f>IF(A320="","",IF(D320=0,"",'Case calculations'!X110))</f>
        <v/>
      </c>
      <c r="H320" s="1" t="str">
        <f>IF(A320="","",IF(D320=0,"NO PATH",IF(G320&lt;Assumptions!$B$5,"BEFORE AS-OF",IF(G320&gt;=Assumptions!$B$7,"BEYOND HORIZON","IN HORIZON"))))</f>
        <v/>
      </c>
    </row>
    <row r="321" spans="1:8" ht="22" customHeight="1">
      <c r="A321" s="1" t="str">
        <f>IF('Case calculations'!C111&lt;&gt;"OK","",'Case calculations'!A111)</f>
        <v/>
      </c>
      <c r="B321" s="1" t="str">
        <f>IF(A321="","",'Case calculations'!B111)</f>
        <v/>
      </c>
      <c r="C321" s="1" t="str">
        <f>IF(A321="","","INITIAL")</f>
        <v/>
      </c>
      <c r="D321" s="19" t="str">
        <f>IF(A321="","",'Case calculations'!N111)</f>
        <v/>
      </c>
      <c r="E321" s="10" t="str">
        <f>IF(A321="","",Assumptions!$B$28)</f>
        <v/>
      </c>
      <c r="F321" s="10" t="str">
        <f t="shared" si="4"/>
        <v/>
      </c>
      <c r="G321" s="7" t="str">
        <f>IF(A321="","",IF(D321=0,"",'Case calculations'!V111))</f>
        <v/>
      </c>
      <c r="H321" s="1" t="str">
        <f>IF(A321="","",IF(D321=0,"NO PATH",IF(G321&lt;Assumptions!$B$5,"BEFORE AS-OF",IF(G321&gt;=Assumptions!$B$7,"BEYOND HORIZON","IN HORIZON"))))</f>
        <v/>
      </c>
    </row>
    <row r="322" spans="1:8" ht="22" customHeight="1">
      <c r="A322" s="1" t="str">
        <f>IF('Case calculations'!C111&lt;&gt;"OK","",'Case calculations'!A111)</f>
        <v/>
      </c>
      <c r="B322" s="1" t="str">
        <f>IF(A322="","",'Case calculations'!B111)</f>
        <v/>
      </c>
      <c r="C322" s="1" t="str">
        <f>IF(A322="","","RECON")</f>
        <v/>
      </c>
      <c r="D322" s="19" t="str">
        <f>IF(A322="","",'Case calculations'!O111)</f>
        <v/>
      </c>
      <c r="E322" s="10" t="str">
        <f>IF(A322="","",Assumptions!$B$29)</f>
        <v/>
      </c>
      <c r="F322" s="10" t="str">
        <f t="shared" si="4"/>
        <v/>
      </c>
      <c r="G322" s="7" t="str">
        <f>IF(A322="","",IF(D322=0,"",'Case calculations'!W111))</f>
        <v/>
      </c>
      <c r="H322" s="1" t="str">
        <f>IF(A322="","",IF(D322=0,"NO PATH",IF(G322&lt;Assumptions!$B$5,"BEFORE AS-OF",IF(G322&gt;=Assumptions!$B$7,"BEYOND HORIZON","IN HORIZON"))))</f>
        <v/>
      </c>
    </row>
    <row r="323" spans="1:8" ht="22" customHeight="1">
      <c r="A323" s="1" t="str">
        <f>IF('Case calculations'!C111&lt;&gt;"OK","",'Case calculations'!A111)</f>
        <v/>
      </c>
      <c r="B323" s="1" t="str">
        <f>IF(A323="","",'Case calculations'!B111)</f>
        <v/>
      </c>
      <c r="C323" s="1" t="str">
        <f>IF(A323="","","HEARING")</f>
        <v/>
      </c>
      <c r="D323" s="19" t="str">
        <f>IF(A323="","",'Case calculations'!S111)</f>
        <v/>
      </c>
      <c r="E323" s="10" t="str">
        <f>IF(A323="","",Assumptions!$B$30)</f>
        <v/>
      </c>
      <c r="F323" s="10" t="str">
        <f t="shared" si="4"/>
        <v/>
      </c>
      <c r="G323" s="7" t="str">
        <f>IF(A323="","",IF(D323=0,"",'Case calculations'!X111))</f>
        <v/>
      </c>
      <c r="H323" s="1" t="str">
        <f>IF(A323="","",IF(D323=0,"NO PATH",IF(G323&lt;Assumptions!$B$5,"BEFORE AS-OF",IF(G323&gt;=Assumptions!$B$7,"BEYOND HORIZON","IN HORIZON"))))</f>
        <v/>
      </c>
    </row>
    <row r="324" spans="1:8" ht="22" customHeight="1">
      <c r="A324" s="1" t="str">
        <f>IF('Case calculations'!C112&lt;&gt;"OK","",'Case calculations'!A112)</f>
        <v/>
      </c>
      <c r="B324" s="1" t="str">
        <f>IF(A324="","",'Case calculations'!B112)</f>
        <v/>
      </c>
      <c r="C324" s="1" t="str">
        <f>IF(A324="","","INITIAL")</f>
        <v/>
      </c>
      <c r="D324" s="19" t="str">
        <f>IF(A324="","",'Case calculations'!N112)</f>
        <v/>
      </c>
      <c r="E324" s="10" t="str">
        <f>IF(A324="","",Assumptions!$B$28)</f>
        <v/>
      </c>
      <c r="F324" s="10" t="str">
        <f t="shared" si="4"/>
        <v/>
      </c>
      <c r="G324" s="7" t="str">
        <f>IF(A324="","",IF(D324=0,"",'Case calculations'!V112))</f>
        <v/>
      </c>
      <c r="H324" s="1" t="str">
        <f>IF(A324="","",IF(D324=0,"NO PATH",IF(G324&lt;Assumptions!$B$5,"BEFORE AS-OF",IF(G324&gt;=Assumptions!$B$7,"BEYOND HORIZON","IN HORIZON"))))</f>
        <v/>
      </c>
    </row>
    <row r="325" spans="1:8" ht="22" customHeight="1">
      <c r="A325" s="1" t="str">
        <f>IF('Case calculations'!C112&lt;&gt;"OK","",'Case calculations'!A112)</f>
        <v/>
      </c>
      <c r="B325" s="1" t="str">
        <f>IF(A325="","",'Case calculations'!B112)</f>
        <v/>
      </c>
      <c r="C325" s="1" t="str">
        <f>IF(A325="","","RECON")</f>
        <v/>
      </c>
      <c r="D325" s="19" t="str">
        <f>IF(A325="","",'Case calculations'!O112)</f>
        <v/>
      </c>
      <c r="E325" s="10" t="str">
        <f>IF(A325="","",Assumptions!$B$29)</f>
        <v/>
      </c>
      <c r="F325" s="10" t="str">
        <f t="shared" si="4"/>
        <v/>
      </c>
      <c r="G325" s="7" t="str">
        <f>IF(A325="","",IF(D325=0,"",'Case calculations'!W112))</f>
        <v/>
      </c>
      <c r="H325" s="1" t="str">
        <f>IF(A325="","",IF(D325=0,"NO PATH",IF(G325&lt;Assumptions!$B$5,"BEFORE AS-OF",IF(G325&gt;=Assumptions!$B$7,"BEYOND HORIZON","IN HORIZON"))))</f>
        <v/>
      </c>
    </row>
    <row r="326" spans="1:8" ht="22" customHeight="1">
      <c r="A326" s="1" t="str">
        <f>IF('Case calculations'!C112&lt;&gt;"OK","",'Case calculations'!A112)</f>
        <v/>
      </c>
      <c r="B326" s="1" t="str">
        <f>IF(A326="","",'Case calculations'!B112)</f>
        <v/>
      </c>
      <c r="C326" s="1" t="str">
        <f>IF(A326="","","HEARING")</f>
        <v/>
      </c>
      <c r="D326" s="19" t="str">
        <f>IF(A326="","",'Case calculations'!S112)</f>
        <v/>
      </c>
      <c r="E326" s="10" t="str">
        <f>IF(A326="","",Assumptions!$B$30)</f>
        <v/>
      </c>
      <c r="F326" s="10" t="str">
        <f t="shared" ref="F326:F389" si="5">IF(A326="","",D326*E326)</f>
        <v/>
      </c>
      <c r="G326" s="7" t="str">
        <f>IF(A326="","",IF(D326=0,"",'Case calculations'!X112))</f>
        <v/>
      </c>
      <c r="H326" s="1" t="str">
        <f>IF(A326="","",IF(D326=0,"NO PATH",IF(G326&lt;Assumptions!$B$5,"BEFORE AS-OF",IF(G326&gt;=Assumptions!$B$7,"BEYOND HORIZON","IN HORIZON"))))</f>
        <v/>
      </c>
    </row>
    <row r="327" spans="1:8" ht="22" customHeight="1">
      <c r="A327" s="1" t="str">
        <f>IF('Case calculations'!C113&lt;&gt;"OK","",'Case calculations'!A113)</f>
        <v/>
      </c>
      <c r="B327" s="1" t="str">
        <f>IF(A327="","",'Case calculations'!B113)</f>
        <v/>
      </c>
      <c r="C327" s="1" t="str">
        <f>IF(A327="","","INITIAL")</f>
        <v/>
      </c>
      <c r="D327" s="19" t="str">
        <f>IF(A327="","",'Case calculations'!N113)</f>
        <v/>
      </c>
      <c r="E327" s="10" t="str">
        <f>IF(A327="","",Assumptions!$B$28)</f>
        <v/>
      </c>
      <c r="F327" s="10" t="str">
        <f t="shared" si="5"/>
        <v/>
      </c>
      <c r="G327" s="7" t="str">
        <f>IF(A327="","",IF(D327=0,"",'Case calculations'!V113))</f>
        <v/>
      </c>
      <c r="H327" s="1" t="str">
        <f>IF(A327="","",IF(D327=0,"NO PATH",IF(G327&lt;Assumptions!$B$5,"BEFORE AS-OF",IF(G327&gt;=Assumptions!$B$7,"BEYOND HORIZON","IN HORIZON"))))</f>
        <v/>
      </c>
    </row>
    <row r="328" spans="1:8" ht="22" customHeight="1">
      <c r="A328" s="1" t="str">
        <f>IF('Case calculations'!C113&lt;&gt;"OK","",'Case calculations'!A113)</f>
        <v/>
      </c>
      <c r="B328" s="1" t="str">
        <f>IF(A328="","",'Case calculations'!B113)</f>
        <v/>
      </c>
      <c r="C328" s="1" t="str">
        <f>IF(A328="","","RECON")</f>
        <v/>
      </c>
      <c r="D328" s="19" t="str">
        <f>IF(A328="","",'Case calculations'!O113)</f>
        <v/>
      </c>
      <c r="E328" s="10" t="str">
        <f>IF(A328="","",Assumptions!$B$29)</f>
        <v/>
      </c>
      <c r="F328" s="10" t="str">
        <f t="shared" si="5"/>
        <v/>
      </c>
      <c r="G328" s="7" t="str">
        <f>IF(A328="","",IF(D328=0,"",'Case calculations'!W113))</f>
        <v/>
      </c>
      <c r="H328" s="1" t="str">
        <f>IF(A328="","",IF(D328=0,"NO PATH",IF(G328&lt;Assumptions!$B$5,"BEFORE AS-OF",IF(G328&gt;=Assumptions!$B$7,"BEYOND HORIZON","IN HORIZON"))))</f>
        <v/>
      </c>
    </row>
    <row r="329" spans="1:8" ht="22" customHeight="1">
      <c r="A329" s="1" t="str">
        <f>IF('Case calculations'!C113&lt;&gt;"OK","",'Case calculations'!A113)</f>
        <v/>
      </c>
      <c r="B329" s="1" t="str">
        <f>IF(A329="","",'Case calculations'!B113)</f>
        <v/>
      </c>
      <c r="C329" s="1" t="str">
        <f>IF(A329="","","HEARING")</f>
        <v/>
      </c>
      <c r="D329" s="19" t="str">
        <f>IF(A329="","",'Case calculations'!S113)</f>
        <v/>
      </c>
      <c r="E329" s="10" t="str">
        <f>IF(A329="","",Assumptions!$B$30)</f>
        <v/>
      </c>
      <c r="F329" s="10" t="str">
        <f t="shared" si="5"/>
        <v/>
      </c>
      <c r="G329" s="7" t="str">
        <f>IF(A329="","",IF(D329=0,"",'Case calculations'!X113))</f>
        <v/>
      </c>
      <c r="H329" s="1" t="str">
        <f>IF(A329="","",IF(D329=0,"NO PATH",IF(G329&lt;Assumptions!$B$5,"BEFORE AS-OF",IF(G329&gt;=Assumptions!$B$7,"BEYOND HORIZON","IN HORIZON"))))</f>
        <v/>
      </c>
    </row>
    <row r="330" spans="1:8" ht="22" customHeight="1">
      <c r="A330" s="1" t="str">
        <f>IF('Case calculations'!C114&lt;&gt;"OK","",'Case calculations'!A114)</f>
        <v/>
      </c>
      <c r="B330" s="1" t="str">
        <f>IF(A330="","",'Case calculations'!B114)</f>
        <v/>
      </c>
      <c r="C330" s="1" t="str">
        <f>IF(A330="","","INITIAL")</f>
        <v/>
      </c>
      <c r="D330" s="19" t="str">
        <f>IF(A330="","",'Case calculations'!N114)</f>
        <v/>
      </c>
      <c r="E330" s="10" t="str">
        <f>IF(A330="","",Assumptions!$B$28)</f>
        <v/>
      </c>
      <c r="F330" s="10" t="str">
        <f t="shared" si="5"/>
        <v/>
      </c>
      <c r="G330" s="7" t="str">
        <f>IF(A330="","",IF(D330=0,"",'Case calculations'!V114))</f>
        <v/>
      </c>
      <c r="H330" s="1" t="str">
        <f>IF(A330="","",IF(D330=0,"NO PATH",IF(G330&lt;Assumptions!$B$5,"BEFORE AS-OF",IF(G330&gt;=Assumptions!$B$7,"BEYOND HORIZON","IN HORIZON"))))</f>
        <v/>
      </c>
    </row>
    <row r="331" spans="1:8" ht="22" customHeight="1">
      <c r="A331" s="1" t="str">
        <f>IF('Case calculations'!C114&lt;&gt;"OK","",'Case calculations'!A114)</f>
        <v/>
      </c>
      <c r="B331" s="1" t="str">
        <f>IF(A331="","",'Case calculations'!B114)</f>
        <v/>
      </c>
      <c r="C331" s="1" t="str">
        <f>IF(A331="","","RECON")</f>
        <v/>
      </c>
      <c r="D331" s="19" t="str">
        <f>IF(A331="","",'Case calculations'!O114)</f>
        <v/>
      </c>
      <c r="E331" s="10" t="str">
        <f>IF(A331="","",Assumptions!$B$29)</f>
        <v/>
      </c>
      <c r="F331" s="10" t="str">
        <f t="shared" si="5"/>
        <v/>
      </c>
      <c r="G331" s="7" t="str">
        <f>IF(A331="","",IF(D331=0,"",'Case calculations'!W114))</f>
        <v/>
      </c>
      <c r="H331" s="1" t="str">
        <f>IF(A331="","",IF(D331=0,"NO PATH",IF(G331&lt;Assumptions!$B$5,"BEFORE AS-OF",IF(G331&gt;=Assumptions!$B$7,"BEYOND HORIZON","IN HORIZON"))))</f>
        <v/>
      </c>
    </row>
    <row r="332" spans="1:8" ht="22" customHeight="1">
      <c r="A332" s="1" t="str">
        <f>IF('Case calculations'!C114&lt;&gt;"OK","",'Case calculations'!A114)</f>
        <v/>
      </c>
      <c r="B332" s="1" t="str">
        <f>IF(A332="","",'Case calculations'!B114)</f>
        <v/>
      </c>
      <c r="C332" s="1" t="str">
        <f>IF(A332="","","HEARING")</f>
        <v/>
      </c>
      <c r="D332" s="19" t="str">
        <f>IF(A332="","",'Case calculations'!S114)</f>
        <v/>
      </c>
      <c r="E332" s="10" t="str">
        <f>IF(A332="","",Assumptions!$B$30)</f>
        <v/>
      </c>
      <c r="F332" s="10" t="str">
        <f t="shared" si="5"/>
        <v/>
      </c>
      <c r="G332" s="7" t="str">
        <f>IF(A332="","",IF(D332=0,"",'Case calculations'!X114))</f>
        <v/>
      </c>
      <c r="H332" s="1" t="str">
        <f>IF(A332="","",IF(D332=0,"NO PATH",IF(G332&lt;Assumptions!$B$5,"BEFORE AS-OF",IF(G332&gt;=Assumptions!$B$7,"BEYOND HORIZON","IN HORIZON"))))</f>
        <v/>
      </c>
    </row>
    <row r="333" spans="1:8" ht="22" customHeight="1">
      <c r="A333" s="1" t="str">
        <f>IF('Case calculations'!C115&lt;&gt;"OK","",'Case calculations'!A115)</f>
        <v/>
      </c>
      <c r="B333" s="1" t="str">
        <f>IF(A333="","",'Case calculations'!B115)</f>
        <v/>
      </c>
      <c r="C333" s="1" t="str">
        <f>IF(A333="","","INITIAL")</f>
        <v/>
      </c>
      <c r="D333" s="19" t="str">
        <f>IF(A333="","",'Case calculations'!N115)</f>
        <v/>
      </c>
      <c r="E333" s="10" t="str">
        <f>IF(A333="","",Assumptions!$B$28)</f>
        <v/>
      </c>
      <c r="F333" s="10" t="str">
        <f t="shared" si="5"/>
        <v/>
      </c>
      <c r="G333" s="7" t="str">
        <f>IF(A333="","",IF(D333=0,"",'Case calculations'!V115))</f>
        <v/>
      </c>
      <c r="H333" s="1" t="str">
        <f>IF(A333="","",IF(D333=0,"NO PATH",IF(G333&lt;Assumptions!$B$5,"BEFORE AS-OF",IF(G333&gt;=Assumptions!$B$7,"BEYOND HORIZON","IN HORIZON"))))</f>
        <v/>
      </c>
    </row>
    <row r="334" spans="1:8" ht="22" customHeight="1">
      <c r="A334" s="1" t="str">
        <f>IF('Case calculations'!C115&lt;&gt;"OK","",'Case calculations'!A115)</f>
        <v/>
      </c>
      <c r="B334" s="1" t="str">
        <f>IF(A334="","",'Case calculations'!B115)</f>
        <v/>
      </c>
      <c r="C334" s="1" t="str">
        <f>IF(A334="","","RECON")</f>
        <v/>
      </c>
      <c r="D334" s="19" t="str">
        <f>IF(A334="","",'Case calculations'!O115)</f>
        <v/>
      </c>
      <c r="E334" s="10" t="str">
        <f>IF(A334="","",Assumptions!$B$29)</f>
        <v/>
      </c>
      <c r="F334" s="10" t="str">
        <f t="shared" si="5"/>
        <v/>
      </c>
      <c r="G334" s="7" t="str">
        <f>IF(A334="","",IF(D334=0,"",'Case calculations'!W115))</f>
        <v/>
      </c>
      <c r="H334" s="1" t="str">
        <f>IF(A334="","",IF(D334=0,"NO PATH",IF(G334&lt;Assumptions!$B$5,"BEFORE AS-OF",IF(G334&gt;=Assumptions!$B$7,"BEYOND HORIZON","IN HORIZON"))))</f>
        <v/>
      </c>
    </row>
    <row r="335" spans="1:8" ht="22" customHeight="1">
      <c r="A335" s="1" t="str">
        <f>IF('Case calculations'!C115&lt;&gt;"OK","",'Case calculations'!A115)</f>
        <v/>
      </c>
      <c r="B335" s="1" t="str">
        <f>IF(A335="","",'Case calculations'!B115)</f>
        <v/>
      </c>
      <c r="C335" s="1" t="str">
        <f>IF(A335="","","HEARING")</f>
        <v/>
      </c>
      <c r="D335" s="19" t="str">
        <f>IF(A335="","",'Case calculations'!S115)</f>
        <v/>
      </c>
      <c r="E335" s="10" t="str">
        <f>IF(A335="","",Assumptions!$B$30)</f>
        <v/>
      </c>
      <c r="F335" s="10" t="str">
        <f t="shared" si="5"/>
        <v/>
      </c>
      <c r="G335" s="7" t="str">
        <f>IF(A335="","",IF(D335=0,"",'Case calculations'!X115))</f>
        <v/>
      </c>
      <c r="H335" s="1" t="str">
        <f>IF(A335="","",IF(D335=0,"NO PATH",IF(G335&lt;Assumptions!$B$5,"BEFORE AS-OF",IF(G335&gt;=Assumptions!$B$7,"BEYOND HORIZON","IN HORIZON"))))</f>
        <v/>
      </c>
    </row>
    <row r="336" spans="1:8" ht="22" customHeight="1">
      <c r="A336" s="1" t="str">
        <f>IF('Case calculations'!C116&lt;&gt;"OK","",'Case calculations'!A116)</f>
        <v/>
      </c>
      <c r="B336" s="1" t="str">
        <f>IF(A336="","",'Case calculations'!B116)</f>
        <v/>
      </c>
      <c r="C336" s="1" t="str">
        <f>IF(A336="","","INITIAL")</f>
        <v/>
      </c>
      <c r="D336" s="19" t="str">
        <f>IF(A336="","",'Case calculations'!N116)</f>
        <v/>
      </c>
      <c r="E336" s="10" t="str">
        <f>IF(A336="","",Assumptions!$B$28)</f>
        <v/>
      </c>
      <c r="F336" s="10" t="str">
        <f t="shared" si="5"/>
        <v/>
      </c>
      <c r="G336" s="7" t="str">
        <f>IF(A336="","",IF(D336=0,"",'Case calculations'!V116))</f>
        <v/>
      </c>
      <c r="H336" s="1" t="str">
        <f>IF(A336="","",IF(D336=0,"NO PATH",IF(G336&lt;Assumptions!$B$5,"BEFORE AS-OF",IF(G336&gt;=Assumptions!$B$7,"BEYOND HORIZON","IN HORIZON"))))</f>
        <v/>
      </c>
    </row>
    <row r="337" spans="1:8" ht="22" customHeight="1">
      <c r="A337" s="1" t="str">
        <f>IF('Case calculations'!C116&lt;&gt;"OK","",'Case calculations'!A116)</f>
        <v/>
      </c>
      <c r="B337" s="1" t="str">
        <f>IF(A337="","",'Case calculations'!B116)</f>
        <v/>
      </c>
      <c r="C337" s="1" t="str">
        <f>IF(A337="","","RECON")</f>
        <v/>
      </c>
      <c r="D337" s="19" t="str">
        <f>IF(A337="","",'Case calculations'!O116)</f>
        <v/>
      </c>
      <c r="E337" s="10" t="str">
        <f>IF(A337="","",Assumptions!$B$29)</f>
        <v/>
      </c>
      <c r="F337" s="10" t="str">
        <f t="shared" si="5"/>
        <v/>
      </c>
      <c r="G337" s="7" t="str">
        <f>IF(A337="","",IF(D337=0,"",'Case calculations'!W116))</f>
        <v/>
      </c>
      <c r="H337" s="1" t="str">
        <f>IF(A337="","",IF(D337=0,"NO PATH",IF(G337&lt;Assumptions!$B$5,"BEFORE AS-OF",IF(G337&gt;=Assumptions!$B$7,"BEYOND HORIZON","IN HORIZON"))))</f>
        <v/>
      </c>
    </row>
    <row r="338" spans="1:8" ht="22" customHeight="1">
      <c r="A338" s="1" t="str">
        <f>IF('Case calculations'!C116&lt;&gt;"OK","",'Case calculations'!A116)</f>
        <v/>
      </c>
      <c r="B338" s="1" t="str">
        <f>IF(A338="","",'Case calculations'!B116)</f>
        <v/>
      </c>
      <c r="C338" s="1" t="str">
        <f>IF(A338="","","HEARING")</f>
        <v/>
      </c>
      <c r="D338" s="19" t="str">
        <f>IF(A338="","",'Case calculations'!S116)</f>
        <v/>
      </c>
      <c r="E338" s="10" t="str">
        <f>IF(A338="","",Assumptions!$B$30)</f>
        <v/>
      </c>
      <c r="F338" s="10" t="str">
        <f t="shared" si="5"/>
        <v/>
      </c>
      <c r="G338" s="7" t="str">
        <f>IF(A338="","",IF(D338=0,"",'Case calculations'!X116))</f>
        <v/>
      </c>
      <c r="H338" s="1" t="str">
        <f>IF(A338="","",IF(D338=0,"NO PATH",IF(G338&lt;Assumptions!$B$5,"BEFORE AS-OF",IF(G338&gt;=Assumptions!$B$7,"BEYOND HORIZON","IN HORIZON"))))</f>
        <v/>
      </c>
    </row>
    <row r="339" spans="1:8" ht="22" customHeight="1">
      <c r="A339" s="1" t="str">
        <f>IF('Case calculations'!C117&lt;&gt;"OK","",'Case calculations'!A117)</f>
        <v/>
      </c>
      <c r="B339" s="1" t="str">
        <f>IF(A339="","",'Case calculations'!B117)</f>
        <v/>
      </c>
      <c r="C339" s="1" t="str">
        <f>IF(A339="","","INITIAL")</f>
        <v/>
      </c>
      <c r="D339" s="19" t="str">
        <f>IF(A339="","",'Case calculations'!N117)</f>
        <v/>
      </c>
      <c r="E339" s="10" t="str">
        <f>IF(A339="","",Assumptions!$B$28)</f>
        <v/>
      </c>
      <c r="F339" s="10" t="str">
        <f t="shared" si="5"/>
        <v/>
      </c>
      <c r="G339" s="7" t="str">
        <f>IF(A339="","",IF(D339=0,"",'Case calculations'!V117))</f>
        <v/>
      </c>
      <c r="H339" s="1" t="str">
        <f>IF(A339="","",IF(D339=0,"NO PATH",IF(G339&lt;Assumptions!$B$5,"BEFORE AS-OF",IF(G339&gt;=Assumptions!$B$7,"BEYOND HORIZON","IN HORIZON"))))</f>
        <v/>
      </c>
    </row>
    <row r="340" spans="1:8" ht="22" customHeight="1">
      <c r="A340" s="1" t="str">
        <f>IF('Case calculations'!C117&lt;&gt;"OK","",'Case calculations'!A117)</f>
        <v/>
      </c>
      <c r="B340" s="1" t="str">
        <f>IF(A340="","",'Case calculations'!B117)</f>
        <v/>
      </c>
      <c r="C340" s="1" t="str">
        <f>IF(A340="","","RECON")</f>
        <v/>
      </c>
      <c r="D340" s="19" t="str">
        <f>IF(A340="","",'Case calculations'!O117)</f>
        <v/>
      </c>
      <c r="E340" s="10" t="str">
        <f>IF(A340="","",Assumptions!$B$29)</f>
        <v/>
      </c>
      <c r="F340" s="10" t="str">
        <f t="shared" si="5"/>
        <v/>
      </c>
      <c r="G340" s="7" t="str">
        <f>IF(A340="","",IF(D340=0,"",'Case calculations'!W117))</f>
        <v/>
      </c>
      <c r="H340" s="1" t="str">
        <f>IF(A340="","",IF(D340=0,"NO PATH",IF(G340&lt;Assumptions!$B$5,"BEFORE AS-OF",IF(G340&gt;=Assumptions!$B$7,"BEYOND HORIZON","IN HORIZON"))))</f>
        <v/>
      </c>
    </row>
    <row r="341" spans="1:8" ht="22" customHeight="1">
      <c r="A341" s="1" t="str">
        <f>IF('Case calculations'!C117&lt;&gt;"OK","",'Case calculations'!A117)</f>
        <v/>
      </c>
      <c r="B341" s="1" t="str">
        <f>IF(A341="","",'Case calculations'!B117)</f>
        <v/>
      </c>
      <c r="C341" s="1" t="str">
        <f>IF(A341="","","HEARING")</f>
        <v/>
      </c>
      <c r="D341" s="19" t="str">
        <f>IF(A341="","",'Case calculations'!S117)</f>
        <v/>
      </c>
      <c r="E341" s="10" t="str">
        <f>IF(A341="","",Assumptions!$B$30)</f>
        <v/>
      </c>
      <c r="F341" s="10" t="str">
        <f t="shared" si="5"/>
        <v/>
      </c>
      <c r="G341" s="7" t="str">
        <f>IF(A341="","",IF(D341=0,"",'Case calculations'!X117))</f>
        <v/>
      </c>
      <c r="H341" s="1" t="str">
        <f>IF(A341="","",IF(D341=0,"NO PATH",IF(G341&lt;Assumptions!$B$5,"BEFORE AS-OF",IF(G341&gt;=Assumptions!$B$7,"BEYOND HORIZON","IN HORIZON"))))</f>
        <v/>
      </c>
    </row>
    <row r="342" spans="1:8" ht="22" customHeight="1">
      <c r="A342" s="1" t="str">
        <f>IF('Case calculations'!C118&lt;&gt;"OK","",'Case calculations'!A118)</f>
        <v/>
      </c>
      <c r="B342" s="1" t="str">
        <f>IF(A342="","",'Case calculations'!B118)</f>
        <v/>
      </c>
      <c r="C342" s="1" t="str">
        <f>IF(A342="","","INITIAL")</f>
        <v/>
      </c>
      <c r="D342" s="19" t="str">
        <f>IF(A342="","",'Case calculations'!N118)</f>
        <v/>
      </c>
      <c r="E342" s="10" t="str">
        <f>IF(A342="","",Assumptions!$B$28)</f>
        <v/>
      </c>
      <c r="F342" s="10" t="str">
        <f t="shared" si="5"/>
        <v/>
      </c>
      <c r="G342" s="7" t="str">
        <f>IF(A342="","",IF(D342=0,"",'Case calculations'!V118))</f>
        <v/>
      </c>
      <c r="H342" s="1" t="str">
        <f>IF(A342="","",IF(D342=0,"NO PATH",IF(G342&lt;Assumptions!$B$5,"BEFORE AS-OF",IF(G342&gt;=Assumptions!$B$7,"BEYOND HORIZON","IN HORIZON"))))</f>
        <v/>
      </c>
    </row>
    <row r="343" spans="1:8" ht="22" customHeight="1">
      <c r="A343" s="1" t="str">
        <f>IF('Case calculations'!C118&lt;&gt;"OK","",'Case calculations'!A118)</f>
        <v/>
      </c>
      <c r="B343" s="1" t="str">
        <f>IF(A343="","",'Case calculations'!B118)</f>
        <v/>
      </c>
      <c r="C343" s="1" t="str">
        <f>IF(A343="","","RECON")</f>
        <v/>
      </c>
      <c r="D343" s="19" t="str">
        <f>IF(A343="","",'Case calculations'!O118)</f>
        <v/>
      </c>
      <c r="E343" s="10" t="str">
        <f>IF(A343="","",Assumptions!$B$29)</f>
        <v/>
      </c>
      <c r="F343" s="10" t="str">
        <f t="shared" si="5"/>
        <v/>
      </c>
      <c r="G343" s="7" t="str">
        <f>IF(A343="","",IF(D343=0,"",'Case calculations'!W118))</f>
        <v/>
      </c>
      <c r="H343" s="1" t="str">
        <f>IF(A343="","",IF(D343=0,"NO PATH",IF(G343&lt;Assumptions!$B$5,"BEFORE AS-OF",IF(G343&gt;=Assumptions!$B$7,"BEYOND HORIZON","IN HORIZON"))))</f>
        <v/>
      </c>
    </row>
    <row r="344" spans="1:8" ht="22" customHeight="1">
      <c r="A344" s="1" t="str">
        <f>IF('Case calculations'!C118&lt;&gt;"OK","",'Case calculations'!A118)</f>
        <v/>
      </c>
      <c r="B344" s="1" t="str">
        <f>IF(A344="","",'Case calculations'!B118)</f>
        <v/>
      </c>
      <c r="C344" s="1" t="str">
        <f>IF(A344="","","HEARING")</f>
        <v/>
      </c>
      <c r="D344" s="19" t="str">
        <f>IF(A344="","",'Case calculations'!S118)</f>
        <v/>
      </c>
      <c r="E344" s="10" t="str">
        <f>IF(A344="","",Assumptions!$B$30)</f>
        <v/>
      </c>
      <c r="F344" s="10" t="str">
        <f t="shared" si="5"/>
        <v/>
      </c>
      <c r="G344" s="7" t="str">
        <f>IF(A344="","",IF(D344=0,"",'Case calculations'!X118))</f>
        <v/>
      </c>
      <c r="H344" s="1" t="str">
        <f>IF(A344="","",IF(D344=0,"NO PATH",IF(G344&lt;Assumptions!$B$5,"BEFORE AS-OF",IF(G344&gt;=Assumptions!$B$7,"BEYOND HORIZON","IN HORIZON"))))</f>
        <v/>
      </c>
    </row>
    <row r="345" spans="1:8" ht="22" customHeight="1">
      <c r="A345" s="1" t="str">
        <f>IF('Case calculations'!C119&lt;&gt;"OK","",'Case calculations'!A119)</f>
        <v/>
      </c>
      <c r="B345" s="1" t="str">
        <f>IF(A345="","",'Case calculations'!B119)</f>
        <v/>
      </c>
      <c r="C345" s="1" t="str">
        <f>IF(A345="","","INITIAL")</f>
        <v/>
      </c>
      <c r="D345" s="19" t="str">
        <f>IF(A345="","",'Case calculations'!N119)</f>
        <v/>
      </c>
      <c r="E345" s="10" t="str">
        <f>IF(A345="","",Assumptions!$B$28)</f>
        <v/>
      </c>
      <c r="F345" s="10" t="str">
        <f t="shared" si="5"/>
        <v/>
      </c>
      <c r="G345" s="7" t="str">
        <f>IF(A345="","",IF(D345=0,"",'Case calculations'!V119))</f>
        <v/>
      </c>
      <c r="H345" s="1" t="str">
        <f>IF(A345="","",IF(D345=0,"NO PATH",IF(G345&lt;Assumptions!$B$5,"BEFORE AS-OF",IF(G345&gt;=Assumptions!$B$7,"BEYOND HORIZON","IN HORIZON"))))</f>
        <v/>
      </c>
    </row>
    <row r="346" spans="1:8" ht="22" customHeight="1">
      <c r="A346" s="1" t="str">
        <f>IF('Case calculations'!C119&lt;&gt;"OK","",'Case calculations'!A119)</f>
        <v/>
      </c>
      <c r="B346" s="1" t="str">
        <f>IF(A346="","",'Case calculations'!B119)</f>
        <v/>
      </c>
      <c r="C346" s="1" t="str">
        <f>IF(A346="","","RECON")</f>
        <v/>
      </c>
      <c r="D346" s="19" t="str">
        <f>IF(A346="","",'Case calculations'!O119)</f>
        <v/>
      </c>
      <c r="E346" s="10" t="str">
        <f>IF(A346="","",Assumptions!$B$29)</f>
        <v/>
      </c>
      <c r="F346" s="10" t="str">
        <f t="shared" si="5"/>
        <v/>
      </c>
      <c r="G346" s="7" t="str">
        <f>IF(A346="","",IF(D346=0,"",'Case calculations'!W119))</f>
        <v/>
      </c>
      <c r="H346" s="1" t="str">
        <f>IF(A346="","",IF(D346=0,"NO PATH",IF(G346&lt;Assumptions!$B$5,"BEFORE AS-OF",IF(G346&gt;=Assumptions!$B$7,"BEYOND HORIZON","IN HORIZON"))))</f>
        <v/>
      </c>
    </row>
    <row r="347" spans="1:8" ht="22" customHeight="1">
      <c r="A347" s="1" t="str">
        <f>IF('Case calculations'!C119&lt;&gt;"OK","",'Case calculations'!A119)</f>
        <v/>
      </c>
      <c r="B347" s="1" t="str">
        <f>IF(A347="","",'Case calculations'!B119)</f>
        <v/>
      </c>
      <c r="C347" s="1" t="str">
        <f>IF(A347="","","HEARING")</f>
        <v/>
      </c>
      <c r="D347" s="19" t="str">
        <f>IF(A347="","",'Case calculations'!S119)</f>
        <v/>
      </c>
      <c r="E347" s="10" t="str">
        <f>IF(A347="","",Assumptions!$B$30)</f>
        <v/>
      </c>
      <c r="F347" s="10" t="str">
        <f t="shared" si="5"/>
        <v/>
      </c>
      <c r="G347" s="7" t="str">
        <f>IF(A347="","",IF(D347=0,"",'Case calculations'!X119))</f>
        <v/>
      </c>
      <c r="H347" s="1" t="str">
        <f>IF(A347="","",IF(D347=0,"NO PATH",IF(G347&lt;Assumptions!$B$5,"BEFORE AS-OF",IF(G347&gt;=Assumptions!$B$7,"BEYOND HORIZON","IN HORIZON"))))</f>
        <v/>
      </c>
    </row>
    <row r="348" spans="1:8" ht="22" customHeight="1">
      <c r="A348" s="1" t="str">
        <f>IF('Case calculations'!C120&lt;&gt;"OK","",'Case calculations'!A120)</f>
        <v/>
      </c>
      <c r="B348" s="1" t="str">
        <f>IF(A348="","",'Case calculations'!B120)</f>
        <v/>
      </c>
      <c r="C348" s="1" t="str">
        <f>IF(A348="","","INITIAL")</f>
        <v/>
      </c>
      <c r="D348" s="19" t="str">
        <f>IF(A348="","",'Case calculations'!N120)</f>
        <v/>
      </c>
      <c r="E348" s="10" t="str">
        <f>IF(A348="","",Assumptions!$B$28)</f>
        <v/>
      </c>
      <c r="F348" s="10" t="str">
        <f t="shared" si="5"/>
        <v/>
      </c>
      <c r="G348" s="7" t="str">
        <f>IF(A348="","",IF(D348=0,"",'Case calculations'!V120))</f>
        <v/>
      </c>
      <c r="H348" s="1" t="str">
        <f>IF(A348="","",IF(D348=0,"NO PATH",IF(G348&lt;Assumptions!$B$5,"BEFORE AS-OF",IF(G348&gt;=Assumptions!$B$7,"BEYOND HORIZON","IN HORIZON"))))</f>
        <v/>
      </c>
    </row>
    <row r="349" spans="1:8" ht="22" customHeight="1">
      <c r="A349" s="1" t="str">
        <f>IF('Case calculations'!C120&lt;&gt;"OK","",'Case calculations'!A120)</f>
        <v/>
      </c>
      <c r="B349" s="1" t="str">
        <f>IF(A349="","",'Case calculations'!B120)</f>
        <v/>
      </c>
      <c r="C349" s="1" t="str">
        <f>IF(A349="","","RECON")</f>
        <v/>
      </c>
      <c r="D349" s="19" t="str">
        <f>IF(A349="","",'Case calculations'!O120)</f>
        <v/>
      </c>
      <c r="E349" s="10" t="str">
        <f>IF(A349="","",Assumptions!$B$29)</f>
        <v/>
      </c>
      <c r="F349" s="10" t="str">
        <f t="shared" si="5"/>
        <v/>
      </c>
      <c r="G349" s="7" t="str">
        <f>IF(A349="","",IF(D349=0,"",'Case calculations'!W120))</f>
        <v/>
      </c>
      <c r="H349" s="1" t="str">
        <f>IF(A349="","",IF(D349=0,"NO PATH",IF(G349&lt;Assumptions!$B$5,"BEFORE AS-OF",IF(G349&gt;=Assumptions!$B$7,"BEYOND HORIZON","IN HORIZON"))))</f>
        <v/>
      </c>
    </row>
    <row r="350" spans="1:8" ht="22" customHeight="1">
      <c r="A350" s="1" t="str">
        <f>IF('Case calculations'!C120&lt;&gt;"OK","",'Case calculations'!A120)</f>
        <v/>
      </c>
      <c r="B350" s="1" t="str">
        <f>IF(A350="","",'Case calculations'!B120)</f>
        <v/>
      </c>
      <c r="C350" s="1" t="str">
        <f>IF(A350="","","HEARING")</f>
        <v/>
      </c>
      <c r="D350" s="19" t="str">
        <f>IF(A350="","",'Case calculations'!S120)</f>
        <v/>
      </c>
      <c r="E350" s="10" t="str">
        <f>IF(A350="","",Assumptions!$B$30)</f>
        <v/>
      </c>
      <c r="F350" s="10" t="str">
        <f t="shared" si="5"/>
        <v/>
      </c>
      <c r="G350" s="7" t="str">
        <f>IF(A350="","",IF(D350=0,"",'Case calculations'!X120))</f>
        <v/>
      </c>
      <c r="H350" s="1" t="str">
        <f>IF(A350="","",IF(D350=0,"NO PATH",IF(G350&lt;Assumptions!$B$5,"BEFORE AS-OF",IF(G350&gt;=Assumptions!$B$7,"BEYOND HORIZON","IN HORIZON"))))</f>
        <v/>
      </c>
    </row>
    <row r="351" spans="1:8" ht="22" customHeight="1">
      <c r="A351" s="1" t="str">
        <f>IF('Case calculations'!C121&lt;&gt;"OK","",'Case calculations'!A121)</f>
        <v/>
      </c>
      <c r="B351" s="1" t="str">
        <f>IF(A351="","",'Case calculations'!B121)</f>
        <v/>
      </c>
      <c r="C351" s="1" t="str">
        <f>IF(A351="","","INITIAL")</f>
        <v/>
      </c>
      <c r="D351" s="19" t="str">
        <f>IF(A351="","",'Case calculations'!N121)</f>
        <v/>
      </c>
      <c r="E351" s="10" t="str">
        <f>IF(A351="","",Assumptions!$B$28)</f>
        <v/>
      </c>
      <c r="F351" s="10" t="str">
        <f t="shared" si="5"/>
        <v/>
      </c>
      <c r="G351" s="7" t="str">
        <f>IF(A351="","",IF(D351=0,"",'Case calculations'!V121))</f>
        <v/>
      </c>
      <c r="H351" s="1" t="str">
        <f>IF(A351="","",IF(D351=0,"NO PATH",IF(G351&lt;Assumptions!$B$5,"BEFORE AS-OF",IF(G351&gt;=Assumptions!$B$7,"BEYOND HORIZON","IN HORIZON"))))</f>
        <v/>
      </c>
    </row>
    <row r="352" spans="1:8" ht="22" customHeight="1">
      <c r="A352" s="1" t="str">
        <f>IF('Case calculations'!C121&lt;&gt;"OK","",'Case calculations'!A121)</f>
        <v/>
      </c>
      <c r="B352" s="1" t="str">
        <f>IF(A352="","",'Case calculations'!B121)</f>
        <v/>
      </c>
      <c r="C352" s="1" t="str">
        <f>IF(A352="","","RECON")</f>
        <v/>
      </c>
      <c r="D352" s="19" t="str">
        <f>IF(A352="","",'Case calculations'!O121)</f>
        <v/>
      </c>
      <c r="E352" s="10" t="str">
        <f>IF(A352="","",Assumptions!$B$29)</f>
        <v/>
      </c>
      <c r="F352" s="10" t="str">
        <f t="shared" si="5"/>
        <v/>
      </c>
      <c r="G352" s="7" t="str">
        <f>IF(A352="","",IF(D352=0,"",'Case calculations'!W121))</f>
        <v/>
      </c>
      <c r="H352" s="1" t="str">
        <f>IF(A352="","",IF(D352=0,"NO PATH",IF(G352&lt;Assumptions!$B$5,"BEFORE AS-OF",IF(G352&gt;=Assumptions!$B$7,"BEYOND HORIZON","IN HORIZON"))))</f>
        <v/>
      </c>
    </row>
    <row r="353" spans="1:8" ht="22" customHeight="1">
      <c r="A353" s="1" t="str">
        <f>IF('Case calculations'!C121&lt;&gt;"OK","",'Case calculations'!A121)</f>
        <v/>
      </c>
      <c r="B353" s="1" t="str">
        <f>IF(A353="","",'Case calculations'!B121)</f>
        <v/>
      </c>
      <c r="C353" s="1" t="str">
        <f>IF(A353="","","HEARING")</f>
        <v/>
      </c>
      <c r="D353" s="19" t="str">
        <f>IF(A353="","",'Case calculations'!S121)</f>
        <v/>
      </c>
      <c r="E353" s="10" t="str">
        <f>IF(A353="","",Assumptions!$B$30)</f>
        <v/>
      </c>
      <c r="F353" s="10" t="str">
        <f t="shared" si="5"/>
        <v/>
      </c>
      <c r="G353" s="7" t="str">
        <f>IF(A353="","",IF(D353=0,"",'Case calculations'!X121))</f>
        <v/>
      </c>
      <c r="H353" s="1" t="str">
        <f>IF(A353="","",IF(D353=0,"NO PATH",IF(G353&lt;Assumptions!$B$5,"BEFORE AS-OF",IF(G353&gt;=Assumptions!$B$7,"BEYOND HORIZON","IN HORIZON"))))</f>
        <v/>
      </c>
    </row>
    <row r="354" spans="1:8" ht="22" customHeight="1">
      <c r="A354" s="1" t="str">
        <f>IF('Case calculations'!C122&lt;&gt;"OK","",'Case calculations'!A122)</f>
        <v/>
      </c>
      <c r="B354" s="1" t="str">
        <f>IF(A354="","",'Case calculations'!B122)</f>
        <v/>
      </c>
      <c r="C354" s="1" t="str">
        <f>IF(A354="","","INITIAL")</f>
        <v/>
      </c>
      <c r="D354" s="19" t="str">
        <f>IF(A354="","",'Case calculations'!N122)</f>
        <v/>
      </c>
      <c r="E354" s="10" t="str">
        <f>IF(A354="","",Assumptions!$B$28)</f>
        <v/>
      </c>
      <c r="F354" s="10" t="str">
        <f t="shared" si="5"/>
        <v/>
      </c>
      <c r="G354" s="7" t="str">
        <f>IF(A354="","",IF(D354=0,"",'Case calculations'!V122))</f>
        <v/>
      </c>
      <c r="H354" s="1" t="str">
        <f>IF(A354="","",IF(D354=0,"NO PATH",IF(G354&lt;Assumptions!$B$5,"BEFORE AS-OF",IF(G354&gt;=Assumptions!$B$7,"BEYOND HORIZON","IN HORIZON"))))</f>
        <v/>
      </c>
    </row>
    <row r="355" spans="1:8" ht="22" customHeight="1">
      <c r="A355" s="1" t="str">
        <f>IF('Case calculations'!C122&lt;&gt;"OK","",'Case calculations'!A122)</f>
        <v/>
      </c>
      <c r="B355" s="1" t="str">
        <f>IF(A355="","",'Case calculations'!B122)</f>
        <v/>
      </c>
      <c r="C355" s="1" t="str">
        <f>IF(A355="","","RECON")</f>
        <v/>
      </c>
      <c r="D355" s="19" t="str">
        <f>IF(A355="","",'Case calculations'!O122)</f>
        <v/>
      </c>
      <c r="E355" s="10" t="str">
        <f>IF(A355="","",Assumptions!$B$29)</f>
        <v/>
      </c>
      <c r="F355" s="10" t="str">
        <f t="shared" si="5"/>
        <v/>
      </c>
      <c r="G355" s="7" t="str">
        <f>IF(A355="","",IF(D355=0,"",'Case calculations'!W122))</f>
        <v/>
      </c>
      <c r="H355" s="1" t="str">
        <f>IF(A355="","",IF(D355=0,"NO PATH",IF(G355&lt;Assumptions!$B$5,"BEFORE AS-OF",IF(G355&gt;=Assumptions!$B$7,"BEYOND HORIZON","IN HORIZON"))))</f>
        <v/>
      </c>
    </row>
    <row r="356" spans="1:8" ht="22" customHeight="1">
      <c r="A356" s="1" t="str">
        <f>IF('Case calculations'!C122&lt;&gt;"OK","",'Case calculations'!A122)</f>
        <v/>
      </c>
      <c r="B356" s="1" t="str">
        <f>IF(A356="","",'Case calculations'!B122)</f>
        <v/>
      </c>
      <c r="C356" s="1" t="str">
        <f>IF(A356="","","HEARING")</f>
        <v/>
      </c>
      <c r="D356" s="19" t="str">
        <f>IF(A356="","",'Case calculations'!S122)</f>
        <v/>
      </c>
      <c r="E356" s="10" t="str">
        <f>IF(A356="","",Assumptions!$B$30)</f>
        <v/>
      </c>
      <c r="F356" s="10" t="str">
        <f t="shared" si="5"/>
        <v/>
      </c>
      <c r="G356" s="7" t="str">
        <f>IF(A356="","",IF(D356=0,"",'Case calculations'!X122))</f>
        <v/>
      </c>
      <c r="H356" s="1" t="str">
        <f>IF(A356="","",IF(D356=0,"NO PATH",IF(G356&lt;Assumptions!$B$5,"BEFORE AS-OF",IF(G356&gt;=Assumptions!$B$7,"BEYOND HORIZON","IN HORIZON"))))</f>
        <v/>
      </c>
    </row>
    <row r="357" spans="1:8" ht="22" customHeight="1">
      <c r="A357" s="1" t="str">
        <f>IF('Case calculations'!C123&lt;&gt;"OK","",'Case calculations'!A123)</f>
        <v/>
      </c>
      <c r="B357" s="1" t="str">
        <f>IF(A357="","",'Case calculations'!B123)</f>
        <v/>
      </c>
      <c r="C357" s="1" t="str">
        <f>IF(A357="","","INITIAL")</f>
        <v/>
      </c>
      <c r="D357" s="19" t="str">
        <f>IF(A357="","",'Case calculations'!N123)</f>
        <v/>
      </c>
      <c r="E357" s="10" t="str">
        <f>IF(A357="","",Assumptions!$B$28)</f>
        <v/>
      </c>
      <c r="F357" s="10" t="str">
        <f t="shared" si="5"/>
        <v/>
      </c>
      <c r="G357" s="7" t="str">
        <f>IF(A357="","",IF(D357=0,"",'Case calculations'!V123))</f>
        <v/>
      </c>
      <c r="H357" s="1" t="str">
        <f>IF(A357="","",IF(D357=0,"NO PATH",IF(G357&lt;Assumptions!$B$5,"BEFORE AS-OF",IF(G357&gt;=Assumptions!$B$7,"BEYOND HORIZON","IN HORIZON"))))</f>
        <v/>
      </c>
    </row>
    <row r="358" spans="1:8" ht="22" customHeight="1">
      <c r="A358" s="1" t="str">
        <f>IF('Case calculations'!C123&lt;&gt;"OK","",'Case calculations'!A123)</f>
        <v/>
      </c>
      <c r="B358" s="1" t="str">
        <f>IF(A358="","",'Case calculations'!B123)</f>
        <v/>
      </c>
      <c r="C358" s="1" t="str">
        <f>IF(A358="","","RECON")</f>
        <v/>
      </c>
      <c r="D358" s="19" t="str">
        <f>IF(A358="","",'Case calculations'!O123)</f>
        <v/>
      </c>
      <c r="E358" s="10" t="str">
        <f>IF(A358="","",Assumptions!$B$29)</f>
        <v/>
      </c>
      <c r="F358" s="10" t="str">
        <f t="shared" si="5"/>
        <v/>
      </c>
      <c r="G358" s="7" t="str">
        <f>IF(A358="","",IF(D358=0,"",'Case calculations'!W123))</f>
        <v/>
      </c>
      <c r="H358" s="1" t="str">
        <f>IF(A358="","",IF(D358=0,"NO PATH",IF(G358&lt;Assumptions!$B$5,"BEFORE AS-OF",IF(G358&gt;=Assumptions!$B$7,"BEYOND HORIZON","IN HORIZON"))))</f>
        <v/>
      </c>
    </row>
    <row r="359" spans="1:8" ht="22" customHeight="1">
      <c r="A359" s="1" t="str">
        <f>IF('Case calculations'!C123&lt;&gt;"OK","",'Case calculations'!A123)</f>
        <v/>
      </c>
      <c r="B359" s="1" t="str">
        <f>IF(A359="","",'Case calculations'!B123)</f>
        <v/>
      </c>
      <c r="C359" s="1" t="str">
        <f>IF(A359="","","HEARING")</f>
        <v/>
      </c>
      <c r="D359" s="19" t="str">
        <f>IF(A359="","",'Case calculations'!S123)</f>
        <v/>
      </c>
      <c r="E359" s="10" t="str">
        <f>IF(A359="","",Assumptions!$B$30)</f>
        <v/>
      </c>
      <c r="F359" s="10" t="str">
        <f t="shared" si="5"/>
        <v/>
      </c>
      <c r="G359" s="7" t="str">
        <f>IF(A359="","",IF(D359=0,"",'Case calculations'!X123))</f>
        <v/>
      </c>
      <c r="H359" s="1" t="str">
        <f>IF(A359="","",IF(D359=0,"NO PATH",IF(G359&lt;Assumptions!$B$5,"BEFORE AS-OF",IF(G359&gt;=Assumptions!$B$7,"BEYOND HORIZON","IN HORIZON"))))</f>
        <v/>
      </c>
    </row>
    <row r="360" spans="1:8" ht="22" customHeight="1">
      <c r="A360" s="1" t="str">
        <f>IF('Case calculations'!C124&lt;&gt;"OK","",'Case calculations'!A124)</f>
        <v/>
      </c>
      <c r="B360" s="1" t="str">
        <f>IF(A360="","",'Case calculations'!B124)</f>
        <v/>
      </c>
      <c r="C360" s="1" t="str">
        <f>IF(A360="","","INITIAL")</f>
        <v/>
      </c>
      <c r="D360" s="19" t="str">
        <f>IF(A360="","",'Case calculations'!N124)</f>
        <v/>
      </c>
      <c r="E360" s="10" t="str">
        <f>IF(A360="","",Assumptions!$B$28)</f>
        <v/>
      </c>
      <c r="F360" s="10" t="str">
        <f t="shared" si="5"/>
        <v/>
      </c>
      <c r="G360" s="7" t="str">
        <f>IF(A360="","",IF(D360=0,"",'Case calculations'!V124))</f>
        <v/>
      </c>
      <c r="H360" s="1" t="str">
        <f>IF(A360="","",IF(D360=0,"NO PATH",IF(G360&lt;Assumptions!$B$5,"BEFORE AS-OF",IF(G360&gt;=Assumptions!$B$7,"BEYOND HORIZON","IN HORIZON"))))</f>
        <v/>
      </c>
    </row>
    <row r="361" spans="1:8" ht="22" customHeight="1">
      <c r="A361" s="1" t="str">
        <f>IF('Case calculations'!C124&lt;&gt;"OK","",'Case calculations'!A124)</f>
        <v/>
      </c>
      <c r="B361" s="1" t="str">
        <f>IF(A361="","",'Case calculations'!B124)</f>
        <v/>
      </c>
      <c r="C361" s="1" t="str">
        <f>IF(A361="","","RECON")</f>
        <v/>
      </c>
      <c r="D361" s="19" t="str">
        <f>IF(A361="","",'Case calculations'!O124)</f>
        <v/>
      </c>
      <c r="E361" s="10" t="str">
        <f>IF(A361="","",Assumptions!$B$29)</f>
        <v/>
      </c>
      <c r="F361" s="10" t="str">
        <f t="shared" si="5"/>
        <v/>
      </c>
      <c r="G361" s="7" t="str">
        <f>IF(A361="","",IF(D361=0,"",'Case calculations'!W124))</f>
        <v/>
      </c>
      <c r="H361" s="1" t="str">
        <f>IF(A361="","",IF(D361=0,"NO PATH",IF(G361&lt;Assumptions!$B$5,"BEFORE AS-OF",IF(G361&gt;=Assumptions!$B$7,"BEYOND HORIZON","IN HORIZON"))))</f>
        <v/>
      </c>
    </row>
    <row r="362" spans="1:8" ht="22" customHeight="1">
      <c r="A362" s="1" t="str">
        <f>IF('Case calculations'!C124&lt;&gt;"OK","",'Case calculations'!A124)</f>
        <v/>
      </c>
      <c r="B362" s="1" t="str">
        <f>IF(A362="","",'Case calculations'!B124)</f>
        <v/>
      </c>
      <c r="C362" s="1" t="str">
        <f>IF(A362="","","HEARING")</f>
        <v/>
      </c>
      <c r="D362" s="19" t="str">
        <f>IF(A362="","",'Case calculations'!S124)</f>
        <v/>
      </c>
      <c r="E362" s="10" t="str">
        <f>IF(A362="","",Assumptions!$B$30)</f>
        <v/>
      </c>
      <c r="F362" s="10" t="str">
        <f t="shared" si="5"/>
        <v/>
      </c>
      <c r="G362" s="7" t="str">
        <f>IF(A362="","",IF(D362=0,"",'Case calculations'!X124))</f>
        <v/>
      </c>
      <c r="H362" s="1" t="str">
        <f>IF(A362="","",IF(D362=0,"NO PATH",IF(G362&lt;Assumptions!$B$5,"BEFORE AS-OF",IF(G362&gt;=Assumptions!$B$7,"BEYOND HORIZON","IN HORIZON"))))</f>
        <v/>
      </c>
    </row>
    <row r="363" spans="1:8" ht="22" customHeight="1">
      <c r="A363" s="1" t="str">
        <f>IF('Case calculations'!C125&lt;&gt;"OK","",'Case calculations'!A125)</f>
        <v/>
      </c>
      <c r="B363" s="1" t="str">
        <f>IF(A363="","",'Case calculations'!B125)</f>
        <v/>
      </c>
      <c r="C363" s="1" t="str">
        <f>IF(A363="","","INITIAL")</f>
        <v/>
      </c>
      <c r="D363" s="19" t="str">
        <f>IF(A363="","",'Case calculations'!N125)</f>
        <v/>
      </c>
      <c r="E363" s="10" t="str">
        <f>IF(A363="","",Assumptions!$B$28)</f>
        <v/>
      </c>
      <c r="F363" s="10" t="str">
        <f t="shared" si="5"/>
        <v/>
      </c>
      <c r="G363" s="7" t="str">
        <f>IF(A363="","",IF(D363=0,"",'Case calculations'!V125))</f>
        <v/>
      </c>
      <c r="H363" s="1" t="str">
        <f>IF(A363="","",IF(D363=0,"NO PATH",IF(G363&lt;Assumptions!$B$5,"BEFORE AS-OF",IF(G363&gt;=Assumptions!$B$7,"BEYOND HORIZON","IN HORIZON"))))</f>
        <v/>
      </c>
    </row>
    <row r="364" spans="1:8" ht="22" customHeight="1">
      <c r="A364" s="1" t="str">
        <f>IF('Case calculations'!C125&lt;&gt;"OK","",'Case calculations'!A125)</f>
        <v/>
      </c>
      <c r="B364" s="1" t="str">
        <f>IF(A364="","",'Case calculations'!B125)</f>
        <v/>
      </c>
      <c r="C364" s="1" t="str">
        <f>IF(A364="","","RECON")</f>
        <v/>
      </c>
      <c r="D364" s="19" t="str">
        <f>IF(A364="","",'Case calculations'!O125)</f>
        <v/>
      </c>
      <c r="E364" s="10" t="str">
        <f>IF(A364="","",Assumptions!$B$29)</f>
        <v/>
      </c>
      <c r="F364" s="10" t="str">
        <f t="shared" si="5"/>
        <v/>
      </c>
      <c r="G364" s="7" t="str">
        <f>IF(A364="","",IF(D364=0,"",'Case calculations'!W125))</f>
        <v/>
      </c>
      <c r="H364" s="1" t="str">
        <f>IF(A364="","",IF(D364=0,"NO PATH",IF(G364&lt;Assumptions!$B$5,"BEFORE AS-OF",IF(G364&gt;=Assumptions!$B$7,"BEYOND HORIZON","IN HORIZON"))))</f>
        <v/>
      </c>
    </row>
    <row r="365" spans="1:8" ht="22" customHeight="1">
      <c r="A365" s="1" t="str">
        <f>IF('Case calculations'!C125&lt;&gt;"OK","",'Case calculations'!A125)</f>
        <v/>
      </c>
      <c r="B365" s="1" t="str">
        <f>IF(A365="","",'Case calculations'!B125)</f>
        <v/>
      </c>
      <c r="C365" s="1" t="str">
        <f>IF(A365="","","HEARING")</f>
        <v/>
      </c>
      <c r="D365" s="19" t="str">
        <f>IF(A365="","",'Case calculations'!S125)</f>
        <v/>
      </c>
      <c r="E365" s="10" t="str">
        <f>IF(A365="","",Assumptions!$B$30)</f>
        <v/>
      </c>
      <c r="F365" s="10" t="str">
        <f t="shared" si="5"/>
        <v/>
      </c>
      <c r="G365" s="7" t="str">
        <f>IF(A365="","",IF(D365=0,"",'Case calculations'!X125))</f>
        <v/>
      </c>
      <c r="H365" s="1" t="str">
        <f>IF(A365="","",IF(D365=0,"NO PATH",IF(G365&lt;Assumptions!$B$5,"BEFORE AS-OF",IF(G365&gt;=Assumptions!$B$7,"BEYOND HORIZON","IN HORIZON"))))</f>
        <v/>
      </c>
    </row>
    <row r="366" spans="1:8" ht="22" customHeight="1">
      <c r="A366" s="1" t="str">
        <f>IF('Case calculations'!C126&lt;&gt;"OK","",'Case calculations'!A126)</f>
        <v/>
      </c>
      <c r="B366" s="1" t="str">
        <f>IF(A366="","",'Case calculations'!B126)</f>
        <v/>
      </c>
      <c r="C366" s="1" t="str">
        <f>IF(A366="","","INITIAL")</f>
        <v/>
      </c>
      <c r="D366" s="19" t="str">
        <f>IF(A366="","",'Case calculations'!N126)</f>
        <v/>
      </c>
      <c r="E366" s="10" t="str">
        <f>IF(A366="","",Assumptions!$B$28)</f>
        <v/>
      </c>
      <c r="F366" s="10" t="str">
        <f t="shared" si="5"/>
        <v/>
      </c>
      <c r="G366" s="7" t="str">
        <f>IF(A366="","",IF(D366=0,"",'Case calculations'!V126))</f>
        <v/>
      </c>
      <c r="H366" s="1" t="str">
        <f>IF(A366="","",IF(D366=0,"NO PATH",IF(G366&lt;Assumptions!$B$5,"BEFORE AS-OF",IF(G366&gt;=Assumptions!$B$7,"BEYOND HORIZON","IN HORIZON"))))</f>
        <v/>
      </c>
    </row>
    <row r="367" spans="1:8" ht="22" customHeight="1">
      <c r="A367" s="1" t="str">
        <f>IF('Case calculations'!C126&lt;&gt;"OK","",'Case calculations'!A126)</f>
        <v/>
      </c>
      <c r="B367" s="1" t="str">
        <f>IF(A367="","",'Case calculations'!B126)</f>
        <v/>
      </c>
      <c r="C367" s="1" t="str">
        <f>IF(A367="","","RECON")</f>
        <v/>
      </c>
      <c r="D367" s="19" t="str">
        <f>IF(A367="","",'Case calculations'!O126)</f>
        <v/>
      </c>
      <c r="E367" s="10" t="str">
        <f>IF(A367="","",Assumptions!$B$29)</f>
        <v/>
      </c>
      <c r="F367" s="10" t="str">
        <f t="shared" si="5"/>
        <v/>
      </c>
      <c r="G367" s="7" t="str">
        <f>IF(A367="","",IF(D367=0,"",'Case calculations'!W126))</f>
        <v/>
      </c>
      <c r="H367" s="1" t="str">
        <f>IF(A367="","",IF(D367=0,"NO PATH",IF(G367&lt;Assumptions!$B$5,"BEFORE AS-OF",IF(G367&gt;=Assumptions!$B$7,"BEYOND HORIZON","IN HORIZON"))))</f>
        <v/>
      </c>
    </row>
    <row r="368" spans="1:8" ht="22" customHeight="1">
      <c r="A368" s="1" t="str">
        <f>IF('Case calculations'!C126&lt;&gt;"OK","",'Case calculations'!A126)</f>
        <v/>
      </c>
      <c r="B368" s="1" t="str">
        <f>IF(A368="","",'Case calculations'!B126)</f>
        <v/>
      </c>
      <c r="C368" s="1" t="str">
        <f>IF(A368="","","HEARING")</f>
        <v/>
      </c>
      <c r="D368" s="19" t="str">
        <f>IF(A368="","",'Case calculations'!S126)</f>
        <v/>
      </c>
      <c r="E368" s="10" t="str">
        <f>IF(A368="","",Assumptions!$B$30)</f>
        <v/>
      </c>
      <c r="F368" s="10" t="str">
        <f t="shared" si="5"/>
        <v/>
      </c>
      <c r="G368" s="7" t="str">
        <f>IF(A368="","",IF(D368=0,"",'Case calculations'!X126))</f>
        <v/>
      </c>
      <c r="H368" s="1" t="str">
        <f>IF(A368="","",IF(D368=0,"NO PATH",IF(G368&lt;Assumptions!$B$5,"BEFORE AS-OF",IF(G368&gt;=Assumptions!$B$7,"BEYOND HORIZON","IN HORIZON"))))</f>
        <v/>
      </c>
    </row>
    <row r="369" spans="1:8" ht="22" customHeight="1">
      <c r="A369" s="1" t="str">
        <f>IF('Case calculations'!C127&lt;&gt;"OK","",'Case calculations'!A127)</f>
        <v/>
      </c>
      <c r="B369" s="1" t="str">
        <f>IF(A369="","",'Case calculations'!B127)</f>
        <v/>
      </c>
      <c r="C369" s="1" t="str">
        <f>IF(A369="","","INITIAL")</f>
        <v/>
      </c>
      <c r="D369" s="19" t="str">
        <f>IF(A369="","",'Case calculations'!N127)</f>
        <v/>
      </c>
      <c r="E369" s="10" t="str">
        <f>IF(A369="","",Assumptions!$B$28)</f>
        <v/>
      </c>
      <c r="F369" s="10" t="str">
        <f t="shared" si="5"/>
        <v/>
      </c>
      <c r="G369" s="7" t="str">
        <f>IF(A369="","",IF(D369=0,"",'Case calculations'!V127))</f>
        <v/>
      </c>
      <c r="H369" s="1" t="str">
        <f>IF(A369="","",IF(D369=0,"NO PATH",IF(G369&lt;Assumptions!$B$5,"BEFORE AS-OF",IF(G369&gt;=Assumptions!$B$7,"BEYOND HORIZON","IN HORIZON"))))</f>
        <v/>
      </c>
    </row>
    <row r="370" spans="1:8" ht="22" customHeight="1">
      <c r="A370" s="1" t="str">
        <f>IF('Case calculations'!C127&lt;&gt;"OK","",'Case calculations'!A127)</f>
        <v/>
      </c>
      <c r="B370" s="1" t="str">
        <f>IF(A370="","",'Case calculations'!B127)</f>
        <v/>
      </c>
      <c r="C370" s="1" t="str">
        <f>IF(A370="","","RECON")</f>
        <v/>
      </c>
      <c r="D370" s="19" t="str">
        <f>IF(A370="","",'Case calculations'!O127)</f>
        <v/>
      </c>
      <c r="E370" s="10" t="str">
        <f>IF(A370="","",Assumptions!$B$29)</f>
        <v/>
      </c>
      <c r="F370" s="10" t="str">
        <f t="shared" si="5"/>
        <v/>
      </c>
      <c r="G370" s="7" t="str">
        <f>IF(A370="","",IF(D370=0,"",'Case calculations'!W127))</f>
        <v/>
      </c>
      <c r="H370" s="1" t="str">
        <f>IF(A370="","",IF(D370=0,"NO PATH",IF(G370&lt;Assumptions!$B$5,"BEFORE AS-OF",IF(G370&gt;=Assumptions!$B$7,"BEYOND HORIZON","IN HORIZON"))))</f>
        <v/>
      </c>
    </row>
    <row r="371" spans="1:8" ht="22" customHeight="1">
      <c r="A371" s="1" t="str">
        <f>IF('Case calculations'!C127&lt;&gt;"OK","",'Case calculations'!A127)</f>
        <v/>
      </c>
      <c r="B371" s="1" t="str">
        <f>IF(A371="","",'Case calculations'!B127)</f>
        <v/>
      </c>
      <c r="C371" s="1" t="str">
        <f>IF(A371="","","HEARING")</f>
        <v/>
      </c>
      <c r="D371" s="19" t="str">
        <f>IF(A371="","",'Case calculations'!S127)</f>
        <v/>
      </c>
      <c r="E371" s="10" t="str">
        <f>IF(A371="","",Assumptions!$B$30)</f>
        <v/>
      </c>
      <c r="F371" s="10" t="str">
        <f t="shared" si="5"/>
        <v/>
      </c>
      <c r="G371" s="7" t="str">
        <f>IF(A371="","",IF(D371=0,"",'Case calculations'!X127))</f>
        <v/>
      </c>
      <c r="H371" s="1" t="str">
        <f>IF(A371="","",IF(D371=0,"NO PATH",IF(G371&lt;Assumptions!$B$5,"BEFORE AS-OF",IF(G371&gt;=Assumptions!$B$7,"BEYOND HORIZON","IN HORIZON"))))</f>
        <v/>
      </c>
    </row>
    <row r="372" spans="1:8" ht="22" customHeight="1">
      <c r="A372" s="1" t="str">
        <f>IF('Case calculations'!C128&lt;&gt;"OK","",'Case calculations'!A128)</f>
        <v/>
      </c>
      <c r="B372" s="1" t="str">
        <f>IF(A372="","",'Case calculations'!B128)</f>
        <v/>
      </c>
      <c r="C372" s="1" t="str">
        <f>IF(A372="","","INITIAL")</f>
        <v/>
      </c>
      <c r="D372" s="19" t="str">
        <f>IF(A372="","",'Case calculations'!N128)</f>
        <v/>
      </c>
      <c r="E372" s="10" t="str">
        <f>IF(A372="","",Assumptions!$B$28)</f>
        <v/>
      </c>
      <c r="F372" s="10" t="str">
        <f t="shared" si="5"/>
        <v/>
      </c>
      <c r="G372" s="7" t="str">
        <f>IF(A372="","",IF(D372=0,"",'Case calculations'!V128))</f>
        <v/>
      </c>
      <c r="H372" s="1" t="str">
        <f>IF(A372="","",IF(D372=0,"NO PATH",IF(G372&lt;Assumptions!$B$5,"BEFORE AS-OF",IF(G372&gt;=Assumptions!$B$7,"BEYOND HORIZON","IN HORIZON"))))</f>
        <v/>
      </c>
    </row>
    <row r="373" spans="1:8" ht="22" customHeight="1">
      <c r="A373" s="1" t="str">
        <f>IF('Case calculations'!C128&lt;&gt;"OK","",'Case calculations'!A128)</f>
        <v/>
      </c>
      <c r="B373" s="1" t="str">
        <f>IF(A373="","",'Case calculations'!B128)</f>
        <v/>
      </c>
      <c r="C373" s="1" t="str">
        <f>IF(A373="","","RECON")</f>
        <v/>
      </c>
      <c r="D373" s="19" t="str">
        <f>IF(A373="","",'Case calculations'!O128)</f>
        <v/>
      </c>
      <c r="E373" s="10" t="str">
        <f>IF(A373="","",Assumptions!$B$29)</f>
        <v/>
      </c>
      <c r="F373" s="10" t="str">
        <f t="shared" si="5"/>
        <v/>
      </c>
      <c r="G373" s="7" t="str">
        <f>IF(A373="","",IF(D373=0,"",'Case calculations'!W128))</f>
        <v/>
      </c>
      <c r="H373" s="1" t="str">
        <f>IF(A373="","",IF(D373=0,"NO PATH",IF(G373&lt;Assumptions!$B$5,"BEFORE AS-OF",IF(G373&gt;=Assumptions!$B$7,"BEYOND HORIZON","IN HORIZON"))))</f>
        <v/>
      </c>
    </row>
    <row r="374" spans="1:8" ht="22" customHeight="1">
      <c r="A374" s="1" t="str">
        <f>IF('Case calculations'!C128&lt;&gt;"OK","",'Case calculations'!A128)</f>
        <v/>
      </c>
      <c r="B374" s="1" t="str">
        <f>IF(A374="","",'Case calculations'!B128)</f>
        <v/>
      </c>
      <c r="C374" s="1" t="str">
        <f>IF(A374="","","HEARING")</f>
        <v/>
      </c>
      <c r="D374" s="19" t="str">
        <f>IF(A374="","",'Case calculations'!S128)</f>
        <v/>
      </c>
      <c r="E374" s="10" t="str">
        <f>IF(A374="","",Assumptions!$B$30)</f>
        <v/>
      </c>
      <c r="F374" s="10" t="str">
        <f t="shared" si="5"/>
        <v/>
      </c>
      <c r="G374" s="7" t="str">
        <f>IF(A374="","",IF(D374=0,"",'Case calculations'!X128))</f>
        <v/>
      </c>
      <c r="H374" s="1" t="str">
        <f>IF(A374="","",IF(D374=0,"NO PATH",IF(G374&lt;Assumptions!$B$5,"BEFORE AS-OF",IF(G374&gt;=Assumptions!$B$7,"BEYOND HORIZON","IN HORIZON"))))</f>
        <v/>
      </c>
    </row>
    <row r="375" spans="1:8" ht="22" customHeight="1">
      <c r="A375" s="1" t="str">
        <f>IF('Case calculations'!C129&lt;&gt;"OK","",'Case calculations'!A129)</f>
        <v/>
      </c>
      <c r="B375" s="1" t="str">
        <f>IF(A375="","",'Case calculations'!B129)</f>
        <v/>
      </c>
      <c r="C375" s="1" t="str">
        <f>IF(A375="","","INITIAL")</f>
        <v/>
      </c>
      <c r="D375" s="19" t="str">
        <f>IF(A375="","",'Case calculations'!N129)</f>
        <v/>
      </c>
      <c r="E375" s="10" t="str">
        <f>IF(A375="","",Assumptions!$B$28)</f>
        <v/>
      </c>
      <c r="F375" s="10" t="str">
        <f t="shared" si="5"/>
        <v/>
      </c>
      <c r="G375" s="7" t="str">
        <f>IF(A375="","",IF(D375=0,"",'Case calculations'!V129))</f>
        <v/>
      </c>
      <c r="H375" s="1" t="str">
        <f>IF(A375="","",IF(D375=0,"NO PATH",IF(G375&lt;Assumptions!$B$5,"BEFORE AS-OF",IF(G375&gt;=Assumptions!$B$7,"BEYOND HORIZON","IN HORIZON"))))</f>
        <v/>
      </c>
    </row>
    <row r="376" spans="1:8" ht="22" customHeight="1">
      <c r="A376" s="1" t="str">
        <f>IF('Case calculations'!C129&lt;&gt;"OK","",'Case calculations'!A129)</f>
        <v/>
      </c>
      <c r="B376" s="1" t="str">
        <f>IF(A376="","",'Case calculations'!B129)</f>
        <v/>
      </c>
      <c r="C376" s="1" t="str">
        <f>IF(A376="","","RECON")</f>
        <v/>
      </c>
      <c r="D376" s="19" t="str">
        <f>IF(A376="","",'Case calculations'!O129)</f>
        <v/>
      </c>
      <c r="E376" s="10" t="str">
        <f>IF(A376="","",Assumptions!$B$29)</f>
        <v/>
      </c>
      <c r="F376" s="10" t="str">
        <f t="shared" si="5"/>
        <v/>
      </c>
      <c r="G376" s="7" t="str">
        <f>IF(A376="","",IF(D376=0,"",'Case calculations'!W129))</f>
        <v/>
      </c>
      <c r="H376" s="1" t="str">
        <f>IF(A376="","",IF(D376=0,"NO PATH",IF(G376&lt;Assumptions!$B$5,"BEFORE AS-OF",IF(G376&gt;=Assumptions!$B$7,"BEYOND HORIZON","IN HORIZON"))))</f>
        <v/>
      </c>
    </row>
    <row r="377" spans="1:8" ht="22" customHeight="1">
      <c r="A377" s="1" t="str">
        <f>IF('Case calculations'!C129&lt;&gt;"OK","",'Case calculations'!A129)</f>
        <v/>
      </c>
      <c r="B377" s="1" t="str">
        <f>IF(A377="","",'Case calculations'!B129)</f>
        <v/>
      </c>
      <c r="C377" s="1" t="str">
        <f>IF(A377="","","HEARING")</f>
        <v/>
      </c>
      <c r="D377" s="19" t="str">
        <f>IF(A377="","",'Case calculations'!S129)</f>
        <v/>
      </c>
      <c r="E377" s="10" t="str">
        <f>IF(A377="","",Assumptions!$B$30)</f>
        <v/>
      </c>
      <c r="F377" s="10" t="str">
        <f t="shared" si="5"/>
        <v/>
      </c>
      <c r="G377" s="7" t="str">
        <f>IF(A377="","",IF(D377=0,"",'Case calculations'!X129))</f>
        <v/>
      </c>
      <c r="H377" s="1" t="str">
        <f>IF(A377="","",IF(D377=0,"NO PATH",IF(G377&lt;Assumptions!$B$5,"BEFORE AS-OF",IF(G377&gt;=Assumptions!$B$7,"BEYOND HORIZON","IN HORIZON"))))</f>
        <v/>
      </c>
    </row>
    <row r="378" spans="1:8" ht="22" customHeight="1">
      <c r="A378" s="1" t="str">
        <f>IF('Case calculations'!C130&lt;&gt;"OK","",'Case calculations'!A130)</f>
        <v/>
      </c>
      <c r="B378" s="1" t="str">
        <f>IF(A378="","",'Case calculations'!B130)</f>
        <v/>
      </c>
      <c r="C378" s="1" t="str">
        <f>IF(A378="","","INITIAL")</f>
        <v/>
      </c>
      <c r="D378" s="19" t="str">
        <f>IF(A378="","",'Case calculations'!N130)</f>
        <v/>
      </c>
      <c r="E378" s="10" t="str">
        <f>IF(A378="","",Assumptions!$B$28)</f>
        <v/>
      </c>
      <c r="F378" s="10" t="str">
        <f t="shared" si="5"/>
        <v/>
      </c>
      <c r="G378" s="7" t="str">
        <f>IF(A378="","",IF(D378=0,"",'Case calculations'!V130))</f>
        <v/>
      </c>
      <c r="H378" s="1" t="str">
        <f>IF(A378="","",IF(D378=0,"NO PATH",IF(G378&lt;Assumptions!$B$5,"BEFORE AS-OF",IF(G378&gt;=Assumptions!$B$7,"BEYOND HORIZON","IN HORIZON"))))</f>
        <v/>
      </c>
    </row>
    <row r="379" spans="1:8" ht="22" customHeight="1">
      <c r="A379" s="1" t="str">
        <f>IF('Case calculations'!C130&lt;&gt;"OK","",'Case calculations'!A130)</f>
        <v/>
      </c>
      <c r="B379" s="1" t="str">
        <f>IF(A379="","",'Case calculations'!B130)</f>
        <v/>
      </c>
      <c r="C379" s="1" t="str">
        <f>IF(A379="","","RECON")</f>
        <v/>
      </c>
      <c r="D379" s="19" t="str">
        <f>IF(A379="","",'Case calculations'!O130)</f>
        <v/>
      </c>
      <c r="E379" s="10" t="str">
        <f>IF(A379="","",Assumptions!$B$29)</f>
        <v/>
      </c>
      <c r="F379" s="10" t="str">
        <f t="shared" si="5"/>
        <v/>
      </c>
      <c r="G379" s="7" t="str">
        <f>IF(A379="","",IF(D379=0,"",'Case calculations'!W130))</f>
        <v/>
      </c>
      <c r="H379" s="1" t="str">
        <f>IF(A379="","",IF(D379=0,"NO PATH",IF(G379&lt;Assumptions!$B$5,"BEFORE AS-OF",IF(G379&gt;=Assumptions!$B$7,"BEYOND HORIZON","IN HORIZON"))))</f>
        <v/>
      </c>
    </row>
    <row r="380" spans="1:8" ht="22" customHeight="1">
      <c r="A380" s="1" t="str">
        <f>IF('Case calculations'!C130&lt;&gt;"OK","",'Case calculations'!A130)</f>
        <v/>
      </c>
      <c r="B380" s="1" t="str">
        <f>IF(A380="","",'Case calculations'!B130)</f>
        <v/>
      </c>
      <c r="C380" s="1" t="str">
        <f>IF(A380="","","HEARING")</f>
        <v/>
      </c>
      <c r="D380" s="19" t="str">
        <f>IF(A380="","",'Case calculations'!S130)</f>
        <v/>
      </c>
      <c r="E380" s="10" t="str">
        <f>IF(A380="","",Assumptions!$B$30)</f>
        <v/>
      </c>
      <c r="F380" s="10" t="str">
        <f t="shared" si="5"/>
        <v/>
      </c>
      <c r="G380" s="7" t="str">
        <f>IF(A380="","",IF(D380=0,"",'Case calculations'!X130))</f>
        <v/>
      </c>
      <c r="H380" s="1" t="str">
        <f>IF(A380="","",IF(D380=0,"NO PATH",IF(G380&lt;Assumptions!$B$5,"BEFORE AS-OF",IF(G380&gt;=Assumptions!$B$7,"BEYOND HORIZON","IN HORIZON"))))</f>
        <v/>
      </c>
    </row>
    <row r="381" spans="1:8" ht="22" customHeight="1">
      <c r="A381" s="1" t="str">
        <f>IF('Case calculations'!C131&lt;&gt;"OK","",'Case calculations'!A131)</f>
        <v/>
      </c>
      <c r="B381" s="1" t="str">
        <f>IF(A381="","",'Case calculations'!B131)</f>
        <v/>
      </c>
      <c r="C381" s="1" t="str">
        <f>IF(A381="","","INITIAL")</f>
        <v/>
      </c>
      <c r="D381" s="19" t="str">
        <f>IF(A381="","",'Case calculations'!N131)</f>
        <v/>
      </c>
      <c r="E381" s="10" t="str">
        <f>IF(A381="","",Assumptions!$B$28)</f>
        <v/>
      </c>
      <c r="F381" s="10" t="str">
        <f t="shared" si="5"/>
        <v/>
      </c>
      <c r="G381" s="7" t="str">
        <f>IF(A381="","",IF(D381=0,"",'Case calculations'!V131))</f>
        <v/>
      </c>
      <c r="H381" s="1" t="str">
        <f>IF(A381="","",IF(D381=0,"NO PATH",IF(G381&lt;Assumptions!$B$5,"BEFORE AS-OF",IF(G381&gt;=Assumptions!$B$7,"BEYOND HORIZON","IN HORIZON"))))</f>
        <v/>
      </c>
    </row>
    <row r="382" spans="1:8" ht="22" customHeight="1">
      <c r="A382" s="1" t="str">
        <f>IF('Case calculations'!C131&lt;&gt;"OK","",'Case calculations'!A131)</f>
        <v/>
      </c>
      <c r="B382" s="1" t="str">
        <f>IF(A382="","",'Case calculations'!B131)</f>
        <v/>
      </c>
      <c r="C382" s="1" t="str">
        <f>IF(A382="","","RECON")</f>
        <v/>
      </c>
      <c r="D382" s="19" t="str">
        <f>IF(A382="","",'Case calculations'!O131)</f>
        <v/>
      </c>
      <c r="E382" s="10" t="str">
        <f>IF(A382="","",Assumptions!$B$29)</f>
        <v/>
      </c>
      <c r="F382" s="10" t="str">
        <f t="shared" si="5"/>
        <v/>
      </c>
      <c r="G382" s="7" t="str">
        <f>IF(A382="","",IF(D382=0,"",'Case calculations'!W131))</f>
        <v/>
      </c>
      <c r="H382" s="1" t="str">
        <f>IF(A382="","",IF(D382=0,"NO PATH",IF(G382&lt;Assumptions!$B$5,"BEFORE AS-OF",IF(G382&gt;=Assumptions!$B$7,"BEYOND HORIZON","IN HORIZON"))))</f>
        <v/>
      </c>
    </row>
    <row r="383" spans="1:8" ht="22" customHeight="1">
      <c r="A383" s="1" t="str">
        <f>IF('Case calculations'!C131&lt;&gt;"OK","",'Case calculations'!A131)</f>
        <v/>
      </c>
      <c r="B383" s="1" t="str">
        <f>IF(A383="","",'Case calculations'!B131)</f>
        <v/>
      </c>
      <c r="C383" s="1" t="str">
        <f>IF(A383="","","HEARING")</f>
        <v/>
      </c>
      <c r="D383" s="19" t="str">
        <f>IF(A383="","",'Case calculations'!S131)</f>
        <v/>
      </c>
      <c r="E383" s="10" t="str">
        <f>IF(A383="","",Assumptions!$B$30)</f>
        <v/>
      </c>
      <c r="F383" s="10" t="str">
        <f t="shared" si="5"/>
        <v/>
      </c>
      <c r="G383" s="7" t="str">
        <f>IF(A383="","",IF(D383=0,"",'Case calculations'!X131))</f>
        <v/>
      </c>
      <c r="H383" s="1" t="str">
        <f>IF(A383="","",IF(D383=0,"NO PATH",IF(G383&lt;Assumptions!$B$5,"BEFORE AS-OF",IF(G383&gt;=Assumptions!$B$7,"BEYOND HORIZON","IN HORIZON"))))</f>
        <v/>
      </c>
    </row>
    <row r="384" spans="1:8" ht="22" customHeight="1">
      <c r="A384" s="1" t="str">
        <f>IF('Case calculations'!C132&lt;&gt;"OK","",'Case calculations'!A132)</f>
        <v/>
      </c>
      <c r="B384" s="1" t="str">
        <f>IF(A384="","",'Case calculations'!B132)</f>
        <v/>
      </c>
      <c r="C384" s="1" t="str">
        <f>IF(A384="","","INITIAL")</f>
        <v/>
      </c>
      <c r="D384" s="19" t="str">
        <f>IF(A384="","",'Case calculations'!N132)</f>
        <v/>
      </c>
      <c r="E384" s="10" t="str">
        <f>IF(A384="","",Assumptions!$B$28)</f>
        <v/>
      </c>
      <c r="F384" s="10" t="str">
        <f t="shared" si="5"/>
        <v/>
      </c>
      <c r="G384" s="7" t="str">
        <f>IF(A384="","",IF(D384=0,"",'Case calculations'!V132))</f>
        <v/>
      </c>
      <c r="H384" s="1" t="str">
        <f>IF(A384="","",IF(D384=0,"NO PATH",IF(G384&lt;Assumptions!$B$5,"BEFORE AS-OF",IF(G384&gt;=Assumptions!$B$7,"BEYOND HORIZON","IN HORIZON"))))</f>
        <v/>
      </c>
    </row>
    <row r="385" spans="1:8" ht="22" customHeight="1">
      <c r="A385" s="1" t="str">
        <f>IF('Case calculations'!C132&lt;&gt;"OK","",'Case calculations'!A132)</f>
        <v/>
      </c>
      <c r="B385" s="1" t="str">
        <f>IF(A385="","",'Case calculations'!B132)</f>
        <v/>
      </c>
      <c r="C385" s="1" t="str">
        <f>IF(A385="","","RECON")</f>
        <v/>
      </c>
      <c r="D385" s="19" t="str">
        <f>IF(A385="","",'Case calculations'!O132)</f>
        <v/>
      </c>
      <c r="E385" s="10" t="str">
        <f>IF(A385="","",Assumptions!$B$29)</f>
        <v/>
      </c>
      <c r="F385" s="10" t="str">
        <f t="shared" si="5"/>
        <v/>
      </c>
      <c r="G385" s="7" t="str">
        <f>IF(A385="","",IF(D385=0,"",'Case calculations'!W132))</f>
        <v/>
      </c>
      <c r="H385" s="1" t="str">
        <f>IF(A385="","",IF(D385=0,"NO PATH",IF(G385&lt;Assumptions!$B$5,"BEFORE AS-OF",IF(G385&gt;=Assumptions!$B$7,"BEYOND HORIZON","IN HORIZON"))))</f>
        <v/>
      </c>
    </row>
    <row r="386" spans="1:8" ht="22" customHeight="1">
      <c r="A386" s="1" t="str">
        <f>IF('Case calculations'!C132&lt;&gt;"OK","",'Case calculations'!A132)</f>
        <v/>
      </c>
      <c r="B386" s="1" t="str">
        <f>IF(A386="","",'Case calculations'!B132)</f>
        <v/>
      </c>
      <c r="C386" s="1" t="str">
        <f>IF(A386="","","HEARING")</f>
        <v/>
      </c>
      <c r="D386" s="19" t="str">
        <f>IF(A386="","",'Case calculations'!S132)</f>
        <v/>
      </c>
      <c r="E386" s="10" t="str">
        <f>IF(A386="","",Assumptions!$B$30)</f>
        <v/>
      </c>
      <c r="F386" s="10" t="str">
        <f t="shared" si="5"/>
        <v/>
      </c>
      <c r="G386" s="7" t="str">
        <f>IF(A386="","",IF(D386=0,"",'Case calculations'!X132))</f>
        <v/>
      </c>
      <c r="H386" s="1" t="str">
        <f>IF(A386="","",IF(D386=0,"NO PATH",IF(G386&lt;Assumptions!$B$5,"BEFORE AS-OF",IF(G386&gt;=Assumptions!$B$7,"BEYOND HORIZON","IN HORIZON"))))</f>
        <v/>
      </c>
    </row>
    <row r="387" spans="1:8" ht="22" customHeight="1">
      <c r="A387" s="1" t="str">
        <f>IF('Case calculations'!C133&lt;&gt;"OK","",'Case calculations'!A133)</f>
        <v/>
      </c>
      <c r="B387" s="1" t="str">
        <f>IF(A387="","",'Case calculations'!B133)</f>
        <v/>
      </c>
      <c r="C387" s="1" t="str">
        <f>IF(A387="","","INITIAL")</f>
        <v/>
      </c>
      <c r="D387" s="19" t="str">
        <f>IF(A387="","",'Case calculations'!N133)</f>
        <v/>
      </c>
      <c r="E387" s="10" t="str">
        <f>IF(A387="","",Assumptions!$B$28)</f>
        <v/>
      </c>
      <c r="F387" s="10" t="str">
        <f t="shared" si="5"/>
        <v/>
      </c>
      <c r="G387" s="7" t="str">
        <f>IF(A387="","",IF(D387=0,"",'Case calculations'!V133))</f>
        <v/>
      </c>
      <c r="H387" s="1" t="str">
        <f>IF(A387="","",IF(D387=0,"NO PATH",IF(G387&lt;Assumptions!$B$5,"BEFORE AS-OF",IF(G387&gt;=Assumptions!$B$7,"BEYOND HORIZON","IN HORIZON"))))</f>
        <v/>
      </c>
    </row>
    <row r="388" spans="1:8" ht="22" customHeight="1">
      <c r="A388" s="1" t="str">
        <f>IF('Case calculations'!C133&lt;&gt;"OK","",'Case calculations'!A133)</f>
        <v/>
      </c>
      <c r="B388" s="1" t="str">
        <f>IF(A388="","",'Case calculations'!B133)</f>
        <v/>
      </c>
      <c r="C388" s="1" t="str">
        <f>IF(A388="","","RECON")</f>
        <v/>
      </c>
      <c r="D388" s="19" t="str">
        <f>IF(A388="","",'Case calculations'!O133)</f>
        <v/>
      </c>
      <c r="E388" s="10" t="str">
        <f>IF(A388="","",Assumptions!$B$29)</f>
        <v/>
      </c>
      <c r="F388" s="10" t="str">
        <f t="shared" si="5"/>
        <v/>
      </c>
      <c r="G388" s="7" t="str">
        <f>IF(A388="","",IF(D388=0,"",'Case calculations'!W133))</f>
        <v/>
      </c>
      <c r="H388" s="1" t="str">
        <f>IF(A388="","",IF(D388=0,"NO PATH",IF(G388&lt;Assumptions!$B$5,"BEFORE AS-OF",IF(G388&gt;=Assumptions!$B$7,"BEYOND HORIZON","IN HORIZON"))))</f>
        <v/>
      </c>
    </row>
    <row r="389" spans="1:8" ht="22" customHeight="1">
      <c r="A389" s="1" t="str">
        <f>IF('Case calculations'!C133&lt;&gt;"OK","",'Case calculations'!A133)</f>
        <v/>
      </c>
      <c r="B389" s="1" t="str">
        <f>IF(A389="","",'Case calculations'!B133)</f>
        <v/>
      </c>
      <c r="C389" s="1" t="str">
        <f>IF(A389="","","HEARING")</f>
        <v/>
      </c>
      <c r="D389" s="19" t="str">
        <f>IF(A389="","",'Case calculations'!S133)</f>
        <v/>
      </c>
      <c r="E389" s="10" t="str">
        <f>IF(A389="","",Assumptions!$B$30)</f>
        <v/>
      </c>
      <c r="F389" s="10" t="str">
        <f t="shared" si="5"/>
        <v/>
      </c>
      <c r="G389" s="7" t="str">
        <f>IF(A389="","",IF(D389=0,"",'Case calculations'!X133))</f>
        <v/>
      </c>
      <c r="H389" s="1" t="str">
        <f>IF(A389="","",IF(D389=0,"NO PATH",IF(G389&lt;Assumptions!$B$5,"BEFORE AS-OF",IF(G389&gt;=Assumptions!$B$7,"BEYOND HORIZON","IN HORIZON"))))</f>
        <v/>
      </c>
    </row>
    <row r="390" spans="1:8" ht="22" customHeight="1">
      <c r="A390" s="1" t="str">
        <f>IF('Case calculations'!C134&lt;&gt;"OK","",'Case calculations'!A134)</f>
        <v/>
      </c>
      <c r="B390" s="1" t="str">
        <f>IF(A390="","",'Case calculations'!B134)</f>
        <v/>
      </c>
      <c r="C390" s="1" t="str">
        <f>IF(A390="","","INITIAL")</f>
        <v/>
      </c>
      <c r="D390" s="19" t="str">
        <f>IF(A390="","",'Case calculations'!N134)</f>
        <v/>
      </c>
      <c r="E390" s="10" t="str">
        <f>IF(A390="","",Assumptions!$B$28)</f>
        <v/>
      </c>
      <c r="F390" s="10" t="str">
        <f t="shared" ref="F390:F453" si="6">IF(A390="","",D390*E390)</f>
        <v/>
      </c>
      <c r="G390" s="7" t="str">
        <f>IF(A390="","",IF(D390=0,"",'Case calculations'!V134))</f>
        <v/>
      </c>
      <c r="H390" s="1" t="str">
        <f>IF(A390="","",IF(D390=0,"NO PATH",IF(G390&lt;Assumptions!$B$5,"BEFORE AS-OF",IF(G390&gt;=Assumptions!$B$7,"BEYOND HORIZON","IN HORIZON"))))</f>
        <v/>
      </c>
    </row>
    <row r="391" spans="1:8" ht="22" customHeight="1">
      <c r="A391" s="1" t="str">
        <f>IF('Case calculations'!C134&lt;&gt;"OK","",'Case calculations'!A134)</f>
        <v/>
      </c>
      <c r="B391" s="1" t="str">
        <f>IF(A391="","",'Case calculations'!B134)</f>
        <v/>
      </c>
      <c r="C391" s="1" t="str">
        <f>IF(A391="","","RECON")</f>
        <v/>
      </c>
      <c r="D391" s="19" t="str">
        <f>IF(A391="","",'Case calculations'!O134)</f>
        <v/>
      </c>
      <c r="E391" s="10" t="str">
        <f>IF(A391="","",Assumptions!$B$29)</f>
        <v/>
      </c>
      <c r="F391" s="10" t="str">
        <f t="shared" si="6"/>
        <v/>
      </c>
      <c r="G391" s="7" t="str">
        <f>IF(A391="","",IF(D391=0,"",'Case calculations'!W134))</f>
        <v/>
      </c>
      <c r="H391" s="1" t="str">
        <f>IF(A391="","",IF(D391=0,"NO PATH",IF(G391&lt;Assumptions!$B$5,"BEFORE AS-OF",IF(G391&gt;=Assumptions!$B$7,"BEYOND HORIZON","IN HORIZON"))))</f>
        <v/>
      </c>
    </row>
    <row r="392" spans="1:8" ht="22" customHeight="1">
      <c r="A392" s="1" t="str">
        <f>IF('Case calculations'!C134&lt;&gt;"OK","",'Case calculations'!A134)</f>
        <v/>
      </c>
      <c r="B392" s="1" t="str">
        <f>IF(A392="","",'Case calculations'!B134)</f>
        <v/>
      </c>
      <c r="C392" s="1" t="str">
        <f>IF(A392="","","HEARING")</f>
        <v/>
      </c>
      <c r="D392" s="19" t="str">
        <f>IF(A392="","",'Case calculations'!S134)</f>
        <v/>
      </c>
      <c r="E392" s="10" t="str">
        <f>IF(A392="","",Assumptions!$B$30)</f>
        <v/>
      </c>
      <c r="F392" s="10" t="str">
        <f t="shared" si="6"/>
        <v/>
      </c>
      <c r="G392" s="7" t="str">
        <f>IF(A392="","",IF(D392=0,"",'Case calculations'!X134))</f>
        <v/>
      </c>
      <c r="H392" s="1" t="str">
        <f>IF(A392="","",IF(D392=0,"NO PATH",IF(G392&lt;Assumptions!$B$5,"BEFORE AS-OF",IF(G392&gt;=Assumptions!$B$7,"BEYOND HORIZON","IN HORIZON"))))</f>
        <v/>
      </c>
    </row>
    <row r="393" spans="1:8" ht="22" customHeight="1">
      <c r="A393" s="1" t="str">
        <f>IF('Case calculations'!C135&lt;&gt;"OK","",'Case calculations'!A135)</f>
        <v/>
      </c>
      <c r="B393" s="1" t="str">
        <f>IF(A393="","",'Case calculations'!B135)</f>
        <v/>
      </c>
      <c r="C393" s="1" t="str">
        <f>IF(A393="","","INITIAL")</f>
        <v/>
      </c>
      <c r="D393" s="19" t="str">
        <f>IF(A393="","",'Case calculations'!N135)</f>
        <v/>
      </c>
      <c r="E393" s="10" t="str">
        <f>IF(A393="","",Assumptions!$B$28)</f>
        <v/>
      </c>
      <c r="F393" s="10" t="str">
        <f t="shared" si="6"/>
        <v/>
      </c>
      <c r="G393" s="7" t="str">
        <f>IF(A393="","",IF(D393=0,"",'Case calculations'!V135))</f>
        <v/>
      </c>
      <c r="H393" s="1" t="str">
        <f>IF(A393="","",IF(D393=0,"NO PATH",IF(G393&lt;Assumptions!$B$5,"BEFORE AS-OF",IF(G393&gt;=Assumptions!$B$7,"BEYOND HORIZON","IN HORIZON"))))</f>
        <v/>
      </c>
    </row>
    <row r="394" spans="1:8" ht="22" customHeight="1">
      <c r="A394" s="1" t="str">
        <f>IF('Case calculations'!C135&lt;&gt;"OK","",'Case calculations'!A135)</f>
        <v/>
      </c>
      <c r="B394" s="1" t="str">
        <f>IF(A394="","",'Case calculations'!B135)</f>
        <v/>
      </c>
      <c r="C394" s="1" t="str">
        <f>IF(A394="","","RECON")</f>
        <v/>
      </c>
      <c r="D394" s="19" t="str">
        <f>IF(A394="","",'Case calculations'!O135)</f>
        <v/>
      </c>
      <c r="E394" s="10" t="str">
        <f>IF(A394="","",Assumptions!$B$29)</f>
        <v/>
      </c>
      <c r="F394" s="10" t="str">
        <f t="shared" si="6"/>
        <v/>
      </c>
      <c r="G394" s="7" t="str">
        <f>IF(A394="","",IF(D394=0,"",'Case calculations'!W135))</f>
        <v/>
      </c>
      <c r="H394" s="1" t="str">
        <f>IF(A394="","",IF(D394=0,"NO PATH",IF(G394&lt;Assumptions!$B$5,"BEFORE AS-OF",IF(G394&gt;=Assumptions!$B$7,"BEYOND HORIZON","IN HORIZON"))))</f>
        <v/>
      </c>
    </row>
    <row r="395" spans="1:8" ht="22" customHeight="1">
      <c r="A395" s="1" t="str">
        <f>IF('Case calculations'!C135&lt;&gt;"OK","",'Case calculations'!A135)</f>
        <v/>
      </c>
      <c r="B395" s="1" t="str">
        <f>IF(A395="","",'Case calculations'!B135)</f>
        <v/>
      </c>
      <c r="C395" s="1" t="str">
        <f>IF(A395="","","HEARING")</f>
        <v/>
      </c>
      <c r="D395" s="19" t="str">
        <f>IF(A395="","",'Case calculations'!S135)</f>
        <v/>
      </c>
      <c r="E395" s="10" t="str">
        <f>IF(A395="","",Assumptions!$B$30)</f>
        <v/>
      </c>
      <c r="F395" s="10" t="str">
        <f t="shared" si="6"/>
        <v/>
      </c>
      <c r="G395" s="7" t="str">
        <f>IF(A395="","",IF(D395=0,"",'Case calculations'!X135))</f>
        <v/>
      </c>
      <c r="H395" s="1" t="str">
        <f>IF(A395="","",IF(D395=0,"NO PATH",IF(G395&lt;Assumptions!$B$5,"BEFORE AS-OF",IF(G395&gt;=Assumptions!$B$7,"BEYOND HORIZON","IN HORIZON"))))</f>
        <v/>
      </c>
    </row>
    <row r="396" spans="1:8" ht="22" customHeight="1">
      <c r="A396" s="1" t="str">
        <f>IF('Case calculations'!C136&lt;&gt;"OK","",'Case calculations'!A136)</f>
        <v/>
      </c>
      <c r="B396" s="1" t="str">
        <f>IF(A396="","",'Case calculations'!B136)</f>
        <v/>
      </c>
      <c r="C396" s="1" t="str">
        <f>IF(A396="","","INITIAL")</f>
        <v/>
      </c>
      <c r="D396" s="19" t="str">
        <f>IF(A396="","",'Case calculations'!N136)</f>
        <v/>
      </c>
      <c r="E396" s="10" t="str">
        <f>IF(A396="","",Assumptions!$B$28)</f>
        <v/>
      </c>
      <c r="F396" s="10" t="str">
        <f t="shared" si="6"/>
        <v/>
      </c>
      <c r="G396" s="7" t="str">
        <f>IF(A396="","",IF(D396=0,"",'Case calculations'!V136))</f>
        <v/>
      </c>
      <c r="H396" s="1" t="str">
        <f>IF(A396="","",IF(D396=0,"NO PATH",IF(G396&lt;Assumptions!$B$5,"BEFORE AS-OF",IF(G396&gt;=Assumptions!$B$7,"BEYOND HORIZON","IN HORIZON"))))</f>
        <v/>
      </c>
    </row>
    <row r="397" spans="1:8" ht="22" customHeight="1">
      <c r="A397" s="1" t="str">
        <f>IF('Case calculations'!C136&lt;&gt;"OK","",'Case calculations'!A136)</f>
        <v/>
      </c>
      <c r="B397" s="1" t="str">
        <f>IF(A397="","",'Case calculations'!B136)</f>
        <v/>
      </c>
      <c r="C397" s="1" t="str">
        <f>IF(A397="","","RECON")</f>
        <v/>
      </c>
      <c r="D397" s="19" t="str">
        <f>IF(A397="","",'Case calculations'!O136)</f>
        <v/>
      </c>
      <c r="E397" s="10" t="str">
        <f>IF(A397="","",Assumptions!$B$29)</f>
        <v/>
      </c>
      <c r="F397" s="10" t="str">
        <f t="shared" si="6"/>
        <v/>
      </c>
      <c r="G397" s="7" t="str">
        <f>IF(A397="","",IF(D397=0,"",'Case calculations'!W136))</f>
        <v/>
      </c>
      <c r="H397" s="1" t="str">
        <f>IF(A397="","",IF(D397=0,"NO PATH",IF(G397&lt;Assumptions!$B$5,"BEFORE AS-OF",IF(G397&gt;=Assumptions!$B$7,"BEYOND HORIZON","IN HORIZON"))))</f>
        <v/>
      </c>
    </row>
    <row r="398" spans="1:8" ht="22" customHeight="1">
      <c r="A398" s="1" t="str">
        <f>IF('Case calculations'!C136&lt;&gt;"OK","",'Case calculations'!A136)</f>
        <v/>
      </c>
      <c r="B398" s="1" t="str">
        <f>IF(A398="","",'Case calculations'!B136)</f>
        <v/>
      </c>
      <c r="C398" s="1" t="str">
        <f>IF(A398="","","HEARING")</f>
        <v/>
      </c>
      <c r="D398" s="19" t="str">
        <f>IF(A398="","",'Case calculations'!S136)</f>
        <v/>
      </c>
      <c r="E398" s="10" t="str">
        <f>IF(A398="","",Assumptions!$B$30)</f>
        <v/>
      </c>
      <c r="F398" s="10" t="str">
        <f t="shared" si="6"/>
        <v/>
      </c>
      <c r="G398" s="7" t="str">
        <f>IF(A398="","",IF(D398=0,"",'Case calculations'!X136))</f>
        <v/>
      </c>
      <c r="H398" s="1" t="str">
        <f>IF(A398="","",IF(D398=0,"NO PATH",IF(G398&lt;Assumptions!$B$5,"BEFORE AS-OF",IF(G398&gt;=Assumptions!$B$7,"BEYOND HORIZON","IN HORIZON"))))</f>
        <v/>
      </c>
    </row>
    <row r="399" spans="1:8" ht="22" customHeight="1">
      <c r="A399" s="1" t="str">
        <f>IF('Case calculations'!C137&lt;&gt;"OK","",'Case calculations'!A137)</f>
        <v/>
      </c>
      <c r="B399" s="1" t="str">
        <f>IF(A399="","",'Case calculations'!B137)</f>
        <v/>
      </c>
      <c r="C399" s="1" t="str">
        <f>IF(A399="","","INITIAL")</f>
        <v/>
      </c>
      <c r="D399" s="19" t="str">
        <f>IF(A399="","",'Case calculations'!N137)</f>
        <v/>
      </c>
      <c r="E399" s="10" t="str">
        <f>IF(A399="","",Assumptions!$B$28)</f>
        <v/>
      </c>
      <c r="F399" s="10" t="str">
        <f t="shared" si="6"/>
        <v/>
      </c>
      <c r="G399" s="7" t="str">
        <f>IF(A399="","",IF(D399=0,"",'Case calculations'!V137))</f>
        <v/>
      </c>
      <c r="H399" s="1" t="str">
        <f>IF(A399="","",IF(D399=0,"NO PATH",IF(G399&lt;Assumptions!$B$5,"BEFORE AS-OF",IF(G399&gt;=Assumptions!$B$7,"BEYOND HORIZON","IN HORIZON"))))</f>
        <v/>
      </c>
    </row>
    <row r="400" spans="1:8" ht="22" customHeight="1">
      <c r="A400" s="1" t="str">
        <f>IF('Case calculations'!C137&lt;&gt;"OK","",'Case calculations'!A137)</f>
        <v/>
      </c>
      <c r="B400" s="1" t="str">
        <f>IF(A400="","",'Case calculations'!B137)</f>
        <v/>
      </c>
      <c r="C400" s="1" t="str">
        <f>IF(A400="","","RECON")</f>
        <v/>
      </c>
      <c r="D400" s="19" t="str">
        <f>IF(A400="","",'Case calculations'!O137)</f>
        <v/>
      </c>
      <c r="E400" s="10" t="str">
        <f>IF(A400="","",Assumptions!$B$29)</f>
        <v/>
      </c>
      <c r="F400" s="10" t="str">
        <f t="shared" si="6"/>
        <v/>
      </c>
      <c r="G400" s="7" t="str">
        <f>IF(A400="","",IF(D400=0,"",'Case calculations'!W137))</f>
        <v/>
      </c>
      <c r="H400" s="1" t="str">
        <f>IF(A400="","",IF(D400=0,"NO PATH",IF(G400&lt;Assumptions!$B$5,"BEFORE AS-OF",IF(G400&gt;=Assumptions!$B$7,"BEYOND HORIZON","IN HORIZON"))))</f>
        <v/>
      </c>
    </row>
    <row r="401" spans="1:8" ht="22" customHeight="1">
      <c r="A401" s="1" t="str">
        <f>IF('Case calculations'!C137&lt;&gt;"OK","",'Case calculations'!A137)</f>
        <v/>
      </c>
      <c r="B401" s="1" t="str">
        <f>IF(A401="","",'Case calculations'!B137)</f>
        <v/>
      </c>
      <c r="C401" s="1" t="str">
        <f>IF(A401="","","HEARING")</f>
        <v/>
      </c>
      <c r="D401" s="19" t="str">
        <f>IF(A401="","",'Case calculations'!S137)</f>
        <v/>
      </c>
      <c r="E401" s="10" t="str">
        <f>IF(A401="","",Assumptions!$B$30)</f>
        <v/>
      </c>
      <c r="F401" s="10" t="str">
        <f t="shared" si="6"/>
        <v/>
      </c>
      <c r="G401" s="7" t="str">
        <f>IF(A401="","",IF(D401=0,"",'Case calculations'!X137))</f>
        <v/>
      </c>
      <c r="H401" s="1" t="str">
        <f>IF(A401="","",IF(D401=0,"NO PATH",IF(G401&lt;Assumptions!$B$5,"BEFORE AS-OF",IF(G401&gt;=Assumptions!$B$7,"BEYOND HORIZON","IN HORIZON"))))</f>
        <v/>
      </c>
    </row>
    <row r="402" spans="1:8" ht="22" customHeight="1">
      <c r="A402" s="1" t="str">
        <f>IF('Case calculations'!C138&lt;&gt;"OK","",'Case calculations'!A138)</f>
        <v/>
      </c>
      <c r="B402" s="1" t="str">
        <f>IF(A402="","",'Case calculations'!B138)</f>
        <v/>
      </c>
      <c r="C402" s="1" t="str">
        <f>IF(A402="","","INITIAL")</f>
        <v/>
      </c>
      <c r="D402" s="19" t="str">
        <f>IF(A402="","",'Case calculations'!N138)</f>
        <v/>
      </c>
      <c r="E402" s="10" t="str">
        <f>IF(A402="","",Assumptions!$B$28)</f>
        <v/>
      </c>
      <c r="F402" s="10" t="str">
        <f t="shared" si="6"/>
        <v/>
      </c>
      <c r="G402" s="7" t="str">
        <f>IF(A402="","",IF(D402=0,"",'Case calculations'!V138))</f>
        <v/>
      </c>
      <c r="H402" s="1" t="str">
        <f>IF(A402="","",IF(D402=0,"NO PATH",IF(G402&lt;Assumptions!$B$5,"BEFORE AS-OF",IF(G402&gt;=Assumptions!$B$7,"BEYOND HORIZON","IN HORIZON"))))</f>
        <v/>
      </c>
    </row>
    <row r="403" spans="1:8" ht="22" customHeight="1">
      <c r="A403" s="1" t="str">
        <f>IF('Case calculations'!C138&lt;&gt;"OK","",'Case calculations'!A138)</f>
        <v/>
      </c>
      <c r="B403" s="1" t="str">
        <f>IF(A403="","",'Case calculations'!B138)</f>
        <v/>
      </c>
      <c r="C403" s="1" t="str">
        <f>IF(A403="","","RECON")</f>
        <v/>
      </c>
      <c r="D403" s="19" t="str">
        <f>IF(A403="","",'Case calculations'!O138)</f>
        <v/>
      </c>
      <c r="E403" s="10" t="str">
        <f>IF(A403="","",Assumptions!$B$29)</f>
        <v/>
      </c>
      <c r="F403" s="10" t="str">
        <f t="shared" si="6"/>
        <v/>
      </c>
      <c r="G403" s="7" t="str">
        <f>IF(A403="","",IF(D403=0,"",'Case calculations'!W138))</f>
        <v/>
      </c>
      <c r="H403" s="1" t="str">
        <f>IF(A403="","",IF(D403=0,"NO PATH",IF(G403&lt;Assumptions!$B$5,"BEFORE AS-OF",IF(G403&gt;=Assumptions!$B$7,"BEYOND HORIZON","IN HORIZON"))))</f>
        <v/>
      </c>
    </row>
    <row r="404" spans="1:8" ht="22" customHeight="1">
      <c r="A404" s="1" t="str">
        <f>IF('Case calculations'!C138&lt;&gt;"OK","",'Case calculations'!A138)</f>
        <v/>
      </c>
      <c r="B404" s="1" t="str">
        <f>IF(A404="","",'Case calculations'!B138)</f>
        <v/>
      </c>
      <c r="C404" s="1" t="str">
        <f>IF(A404="","","HEARING")</f>
        <v/>
      </c>
      <c r="D404" s="19" t="str">
        <f>IF(A404="","",'Case calculations'!S138)</f>
        <v/>
      </c>
      <c r="E404" s="10" t="str">
        <f>IF(A404="","",Assumptions!$B$30)</f>
        <v/>
      </c>
      <c r="F404" s="10" t="str">
        <f t="shared" si="6"/>
        <v/>
      </c>
      <c r="G404" s="7" t="str">
        <f>IF(A404="","",IF(D404=0,"",'Case calculations'!X138))</f>
        <v/>
      </c>
      <c r="H404" s="1" t="str">
        <f>IF(A404="","",IF(D404=0,"NO PATH",IF(G404&lt;Assumptions!$B$5,"BEFORE AS-OF",IF(G404&gt;=Assumptions!$B$7,"BEYOND HORIZON","IN HORIZON"))))</f>
        <v/>
      </c>
    </row>
    <row r="405" spans="1:8" ht="22" customHeight="1">
      <c r="A405" s="1" t="str">
        <f>IF('Case calculations'!C139&lt;&gt;"OK","",'Case calculations'!A139)</f>
        <v/>
      </c>
      <c r="B405" s="1" t="str">
        <f>IF(A405="","",'Case calculations'!B139)</f>
        <v/>
      </c>
      <c r="C405" s="1" t="str">
        <f>IF(A405="","","INITIAL")</f>
        <v/>
      </c>
      <c r="D405" s="19" t="str">
        <f>IF(A405="","",'Case calculations'!N139)</f>
        <v/>
      </c>
      <c r="E405" s="10" t="str">
        <f>IF(A405="","",Assumptions!$B$28)</f>
        <v/>
      </c>
      <c r="F405" s="10" t="str">
        <f t="shared" si="6"/>
        <v/>
      </c>
      <c r="G405" s="7" t="str">
        <f>IF(A405="","",IF(D405=0,"",'Case calculations'!V139))</f>
        <v/>
      </c>
      <c r="H405" s="1" t="str">
        <f>IF(A405="","",IF(D405=0,"NO PATH",IF(G405&lt;Assumptions!$B$5,"BEFORE AS-OF",IF(G405&gt;=Assumptions!$B$7,"BEYOND HORIZON","IN HORIZON"))))</f>
        <v/>
      </c>
    </row>
    <row r="406" spans="1:8" ht="22" customHeight="1">
      <c r="A406" s="1" t="str">
        <f>IF('Case calculations'!C139&lt;&gt;"OK","",'Case calculations'!A139)</f>
        <v/>
      </c>
      <c r="B406" s="1" t="str">
        <f>IF(A406="","",'Case calculations'!B139)</f>
        <v/>
      </c>
      <c r="C406" s="1" t="str">
        <f>IF(A406="","","RECON")</f>
        <v/>
      </c>
      <c r="D406" s="19" t="str">
        <f>IF(A406="","",'Case calculations'!O139)</f>
        <v/>
      </c>
      <c r="E406" s="10" t="str">
        <f>IF(A406="","",Assumptions!$B$29)</f>
        <v/>
      </c>
      <c r="F406" s="10" t="str">
        <f t="shared" si="6"/>
        <v/>
      </c>
      <c r="G406" s="7" t="str">
        <f>IF(A406="","",IF(D406=0,"",'Case calculations'!W139))</f>
        <v/>
      </c>
      <c r="H406" s="1" t="str">
        <f>IF(A406="","",IF(D406=0,"NO PATH",IF(G406&lt;Assumptions!$B$5,"BEFORE AS-OF",IF(G406&gt;=Assumptions!$B$7,"BEYOND HORIZON","IN HORIZON"))))</f>
        <v/>
      </c>
    </row>
    <row r="407" spans="1:8" ht="22" customHeight="1">
      <c r="A407" s="1" t="str">
        <f>IF('Case calculations'!C139&lt;&gt;"OK","",'Case calculations'!A139)</f>
        <v/>
      </c>
      <c r="B407" s="1" t="str">
        <f>IF(A407="","",'Case calculations'!B139)</f>
        <v/>
      </c>
      <c r="C407" s="1" t="str">
        <f>IF(A407="","","HEARING")</f>
        <v/>
      </c>
      <c r="D407" s="19" t="str">
        <f>IF(A407="","",'Case calculations'!S139)</f>
        <v/>
      </c>
      <c r="E407" s="10" t="str">
        <f>IF(A407="","",Assumptions!$B$30)</f>
        <v/>
      </c>
      <c r="F407" s="10" t="str">
        <f t="shared" si="6"/>
        <v/>
      </c>
      <c r="G407" s="7" t="str">
        <f>IF(A407="","",IF(D407=0,"",'Case calculations'!X139))</f>
        <v/>
      </c>
      <c r="H407" s="1" t="str">
        <f>IF(A407="","",IF(D407=0,"NO PATH",IF(G407&lt;Assumptions!$B$5,"BEFORE AS-OF",IF(G407&gt;=Assumptions!$B$7,"BEYOND HORIZON","IN HORIZON"))))</f>
        <v/>
      </c>
    </row>
    <row r="408" spans="1:8" ht="22" customHeight="1">
      <c r="A408" s="1" t="str">
        <f>IF('Case calculations'!C140&lt;&gt;"OK","",'Case calculations'!A140)</f>
        <v/>
      </c>
      <c r="B408" s="1" t="str">
        <f>IF(A408="","",'Case calculations'!B140)</f>
        <v/>
      </c>
      <c r="C408" s="1" t="str">
        <f>IF(A408="","","INITIAL")</f>
        <v/>
      </c>
      <c r="D408" s="19" t="str">
        <f>IF(A408="","",'Case calculations'!N140)</f>
        <v/>
      </c>
      <c r="E408" s="10" t="str">
        <f>IF(A408="","",Assumptions!$B$28)</f>
        <v/>
      </c>
      <c r="F408" s="10" t="str">
        <f t="shared" si="6"/>
        <v/>
      </c>
      <c r="G408" s="7" t="str">
        <f>IF(A408="","",IF(D408=0,"",'Case calculations'!V140))</f>
        <v/>
      </c>
      <c r="H408" s="1" t="str">
        <f>IF(A408="","",IF(D408=0,"NO PATH",IF(G408&lt;Assumptions!$B$5,"BEFORE AS-OF",IF(G408&gt;=Assumptions!$B$7,"BEYOND HORIZON","IN HORIZON"))))</f>
        <v/>
      </c>
    </row>
    <row r="409" spans="1:8" ht="22" customHeight="1">
      <c r="A409" s="1" t="str">
        <f>IF('Case calculations'!C140&lt;&gt;"OK","",'Case calculations'!A140)</f>
        <v/>
      </c>
      <c r="B409" s="1" t="str">
        <f>IF(A409="","",'Case calculations'!B140)</f>
        <v/>
      </c>
      <c r="C409" s="1" t="str">
        <f>IF(A409="","","RECON")</f>
        <v/>
      </c>
      <c r="D409" s="19" t="str">
        <f>IF(A409="","",'Case calculations'!O140)</f>
        <v/>
      </c>
      <c r="E409" s="10" t="str">
        <f>IF(A409="","",Assumptions!$B$29)</f>
        <v/>
      </c>
      <c r="F409" s="10" t="str">
        <f t="shared" si="6"/>
        <v/>
      </c>
      <c r="G409" s="7" t="str">
        <f>IF(A409="","",IF(D409=0,"",'Case calculations'!W140))</f>
        <v/>
      </c>
      <c r="H409" s="1" t="str">
        <f>IF(A409="","",IF(D409=0,"NO PATH",IF(G409&lt;Assumptions!$B$5,"BEFORE AS-OF",IF(G409&gt;=Assumptions!$B$7,"BEYOND HORIZON","IN HORIZON"))))</f>
        <v/>
      </c>
    </row>
    <row r="410" spans="1:8" ht="22" customHeight="1">
      <c r="A410" s="1" t="str">
        <f>IF('Case calculations'!C140&lt;&gt;"OK","",'Case calculations'!A140)</f>
        <v/>
      </c>
      <c r="B410" s="1" t="str">
        <f>IF(A410="","",'Case calculations'!B140)</f>
        <v/>
      </c>
      <c r="C410" s="1" t="str">
        <f>IF(A410="","","HEARING")</f>
        <v/>
      </c>
      <c r="D410" s="19" t="str">
        <f>IF(A410="","",'Case calculations'!S140)</f>
        <v/>
      </c>
      <c r="E410" s="10" t="str">
        <f>IF(A410="","",Assumptions!$B$30)</f>
        <v/>
      </c>
      <c r="F410" s="10" t="str">
        <f t="shared" si="6"/>
        <v/>
      </c>
      <c r="G410" s="7" t="str">
        <f>IF(A410="","",IF(D410=0,"",'Case calculations'!X140))</f>
        <v/>
      </c>
      <c r="H410" s="1" t="str">
        <f>IF(A410="","",IF(D410=0,"NO PATH",IF(G410&lt;Assumptions!$B$5,"BEFORE AS-OF",IF(G410&gt;=Assumptions!$B$7,"BEYOND HORIZON","IN HORIZON"))))</f>
        <v/>
      </c>
    </row>
    <row r="411" spans="1:8" ht="22" customHeight="1">
      <c r="A411" s="1" t="str">
        <f>IF('Case calculations'!C141&lt;&gt;"OK","",'Case calculations'!A141)</f>
        <v/>
      </c>
      <c r="B411" s="1" t="str">
        <f>IF(A411="","",'Case calculations'!B141)</f>
        <v/>
      </c>
      <c r="C411" s="1" t="str">
        <f>IF(A411="","","INITIAL")</f>
        <v/>
      </c>
      <c r="D411" s="19" t="str">
        <f>IF(A411="","",'Case calculations'!N141)</f>
        <v/>
      </c>
      <c r="E411" s="10" t="str">
        <f>IF(A411="","",Assumptions!$B$28)</f>
        <v/>
      </c>
      <c r="F411" s="10" t="str">
        <f t="shared" si="6"/>
        <v/>
      </c>
      <c r="G411" s="7" t="str">
        <f>IF(A411="","",IF(D411=0,"",'Case calculations'!V141))</f>
        <v/>
      </c>
      <c r="H411" s="1" t="str">
        <f>IF(A411="","",IF(D411=0,"NO PATH",IF(G411&lt;Assumptions!$B$5,"BEFORE AS-OF",IF(G411&gt;=Assumptions!$B$7,"BEYOND HORIZON","IN HORIZON"))))</f>
        <v/>
      </c>
    </row>
    <row r="412" spans="1:8" ht="22" customHeight="1">
      <c r="A412" s="1" t="str">
        <f>IF('Case calculations'!C141&lt;&gt;"OK","",'Case calculations'!A141)</f>
        <v/>
      </c>
      <c r="B412" s="1" t="str">
        <f>IF(A412="","",'Case calculations'!B141)</f>
        <v/>
      </c>
      <c r="C412" s="1" t="str">
        <f>IF(A412="","","RECON")</f>
        <v/>
      </c>
      <c r="D412" s="19" t="str">
        <f>IF(A412="","",'Case calculations'!O141)</f>
        <v/>
      </c>
      <c r="E412" s="10" t="str">
        <f>IF(A412="","",Assumptions!$B$29)</f>
        <v/>
      </c>
      <c r="F412" s="10" t="str">
        <f t="shared" si="6"/>
        <v/>
      </c>
      <c r="G412" s="7" t="str">
        <f>IF(A412="","",IF(D412=0,"",'Case calculations'!W141))</f>
        <v/>
      </c>
      <c r="H412" s="1" t="str">
        <f>IF(A412="","",IF(D412=0,"NO PATH",IF(G412&lt;Assumptions!$B$5,"BEFORE AS-OF",IF(G412&gt;=Assumptions!$B$7,"BEYOND HORIZON","IN HORIZON"))))</f>
        <v/>
      </c>
    </row>
    <row r="413" spans="1:8" ht="22" customHeight="1">
      <c r="A413" s="1" t="str">
        <f>IF('Case calculations'!C141&lt;&gt;"OK","",'Case calculations'!A141)</f>
        <v/>
      </c>
      <c r="B413" s="1" t="str">
        <f>IF(A413="","",'Case calculations'!B141)</f>
        <v/>
      </c>
      <c r="C413" s="1" t="str">
        <f>IF(A413="","","HEARING")</f>
        <v/>
      </c>
      <c r="D413" s="19" t="str">
        <f>IF(A413="","",'Case calculations'!S141)</f>
        <v/>
      </c>
      <c r="E413" s="10" t="str">
        <f>IF(A413="","",Assumptions!$B$30)</f>
        <v/>
      </c>
      <c r="F413" s="10" t="str">
        <f t="shared" si="6"/>
        <v/>
      </c>
      <c r="G413" s="7" t="str">
        <f>IF(A413="","",IF(D413=0,"",'Case calculations'!X141))</f>
        <v/>
      </c>
      <c r="H413" s="1" t="str">
        <f>IF(A413="","",IF(D413=0,"NO PATH",IF(G413&lt;Assumptions!$B$5,"BEFORE AS-OF",IF(G413&gt;=Assumptions!$B$7,"BEYOND HORIZON","IN HORIZON"))))</f>
        <v/>
      </c>
    </row>
    <row r="414" spans="1:8" ht="22" customHeight="1">
      <c r="A414" s="1" t="str">
        <f>IF('Case calculations'!C142&lt;&gt;"OK","",'Case calculations'!A142)</f>
        <v/>
      </c>
      <c r="B414" s="1" t="str">
        <f>IF(A414="","",'Case calculations'!B142)</f>
        <v/>
      </c>
      <c r="C414" s="1" t="str">
        <f>IF(A414="","","INITIAL")</f>
        <v/>
      </c>
      <c r="D414" s="19" t="str">
        <f>IF(A414="","",'Case calculations'!N142)</f>
        <v/>
      </c>
      <c r="E414" s="10" t="str">
        <f>IF(A414="","",Assumptions!$B$28)</f>
        <v/>
      </c>
      <c r="F414" s="10" t="str">
        <f t="shared" si="6"/>
        <v/>
      </c>
      <c r="G414" s="7" t="str">
        <f>IF(A414="","",IF(D414=0,"",'Case calculations'!V142))</f>
        <v/>
      </c>
      <c r="H414" s="1" t="str">
        <f>IF(A414="","",IF(D414=0,"NO PATH",IF(G414&lt;Assumptions!$B$5,"BEFORE AS-OF",IF(G414&gt;=Assumptions!$B$7,"BEYOND HORIZON","IN HORIZON"))))</f>
        <v/>
      </c>
    </row>
    <row r="415" spans="1:8" ht="22" customHeight="1">
      <c r="A415" s="1" t="str">
        <f>IF('Case calculations'!C142&lt;&gt;"OK","",'Case calculations'!A142)</f>
        <v/>
      </c>
      <c r="B415" s="1" t="str">
        <f>IF(A415="","",'Case calculations'!B142)</f>
        <v/>
      </c>
      <c r="C415" s="1" t="str">
        <f>IF(A415="","","RECON")</f>
        <v/>
      </c>
      <c r="D415" s="19" t="str">
        <f>IF(A415="","",'Case calculations'!O142)</f>
        <v/>
      </c>
      <c r="E415" s="10" t="str">
        <f>IF(A415="","",Assumptions!$B$29)</f>
        <v/>
      </c>
      <c r="F415" s="10" t="str">
        <f t="shared" si="6"/>
        <v/>
      </c>
      <c r="G415" s="7" t="str">
        <f>IF(A415="","",IF(D415=0,"",'Case calculations'!W142))</f>
        <v/>
      </c>
      <c r="H415" s="1" t="str">
        <f>IF(A415="","",IF(D415=0,"NO PATH",IF(G415&lt;Assumptions!$B$5,"BEFORE AS-OF",IF(G415&gt;=Assumptions!$B$7,"BEYOND HORIZON","IN HORIZON"))))</f>
        <v/>
      </c>
    </row>
    <row r="416" spans="1:8" ht="22" customHeight="1">
      <c r="A416" s="1" t="str">
        <f>IF('Case calculations'!C142&lt;&gt;"OK","",'Case calculations'!A142)</f>
        <v/>
      </c>
      <c r="B416" s="1" t="str">
        <f>IF(A416="","",'Case calculations'!B142)</f>
        <v/>
      </c>
      <c r="C416" s="1" t="str">
        <f>IF(A416="","","HEARING")</f>
        <v/>
      </c>
      <c r="D416" s="19" t="str">
        <f>IF(A416="","",'Case calculations'!S142)</f>
        <v/>
      </c>
      <c r="E416" s="10" t="str">
        <f>IF(A416="","",Assumptions!$B$30)</f>
        <v/>
      </c>
      <c r="F416" s="10" t="str">
        <f t="shared" si="6"/>
        <v/>
      </c>
      <c r="G416" s="7" t="str">
        <f>IF(A416="","",IF(D416=0,"",'Case calculations'!X142))</f>
        <v/>
      </c>
      <c r="H416" s="1" t="str">
        <f>IF(A416="","",IF(D416=0,"NO PATH",IF(G416&lt;Assumptions!$B$5,"BEFORE AS-OF",IF(G416&gt;=Assumptions!$B$7,"BEYOND HORIZON","IN HORIZON"))))</f>
        <v/>
      </c>
    </row>
    <row r="417" spans="1:8" ht="22" customHeight="1">
      <c r="A417" s="1" t="str">
        <f>IF('Case calculations'!C143&lt;&gt;"OK","",'Case calculations'!A143)</f>
        <v/>
      </c>
      <c r="B417" s="1" t="str">
        <f>IF(A417="","",'Case calculations'!B143)</f>
        <v/>
      </c>
      <c r="C417" s="1" t="str">
        <f>IF(A417="","","INITIAL")</f>
        <v/>
      </c>
      <c r="D417" s="19" t="str">
        <f>IF(A417="","",'Case calculations'!N143)</f>
        <v/>
      </c>
      <c r="E417" s="10" t="str">
        <f>IF(A417="","",Assumptions!$B$28)</f>
        <v/>
      </c>
      <c r="F417" s="10" t="str">
        <f t="shared" si="6"/>
        <v/>
      </c>
      <c r="G417" s="7" t="str">
        <f>IF(A417="","",IF(D417=0,"",'Case calculations'!V143))</f>
        <v/>
      </c>
      <c r="H417" s="1" t="str">
        <f>IF(A417="","",IF(D417=0,"NO PATH",IF(G417&lt;Assumptions!$B$5,"BEFORE AS-OF",IF(G417&gt;=Assumptions!$B$7,"BEYOND HORIZON","IN HORIZON"))))</f>
        <v/>
      </c>
    </row>
    <row r="418" spans="1:8" ht="22" customHeight="1">
      <c r="A418" s="1" t="str">
        <f>IF('Case calculations'!C143&lt;&gt;"OK","",'Case calculations'!A143)</f>
        <v/>
      </c>
      <c r="B418" s="1" t="str">
        <f>IF(A418="","",'Case calculations'!B143)</f>
        <v/>
      </c>
      <c r="C418" s="1" t="str">
        <f>IF(A418="","","RECON")</f>
        <v/>
      </c>
      <c r="D418" s="19" t="str">
        <f>IF(A418="","",'Case calculations'!O143)</f>
        <v/>
      </c>
      <c r="E418" s="10" t="str">
        <f>IF(A418="","",Assumptions!$B$29)</f>
        <v/>
      </c>
      <c r="F418" s="10" t="str">
        <f t="shared" si="6"/>
        <v/>
      </c>
      <c r="G418" s="7" t="str">
        <f>IF(A418="","",IF(D418=0,"",'Case calculations'!W143))</f>
        <v/>
      </c>
      <c r="H418" s="1" t="str">
        <f>IF(A418="","",IF(D418=0,"NO PATH",IF(G418&lt;Assumptions!$B$5,"BEFORE AS-OF",IF(G418&gt;=Assumptions!$B$7,"BEYOND HORIZON","IN HORIZON"))))</f>
        <v/>
      </c>
    </row>
    <row r="419" spans="1:8" ht="22" customHeight="1">
      <c r="A419" s="1" t="str">
        <f>IF('Case calculations'!C143&lt;&gt;"OK","",'Case calculations'!A143)</f>
        <v/>
      </c>
      <c r="B419" s="1" t="str">
        <f>IF(A419="","",'Case calculations'!B143)</f>
        <v/>
      </c>
      <c r="C419" s="1" t="str">
        <f>IF(A419="","","HEARING")</f>
        <v/>
      </c>
      <c r="D419" s="19" t="str">
        <f>IF(A419="","",'Case calculations'!S143)</f>
        <v/>
      </c>
      <c r="E419" s="10" t="str">
        <f>IF(A419="","",Assumptions!$B$30)</f>
        <v/>
      </c>
      <c r="F419" s="10" t="str">
        <f t="shared" si="6"/>
        <v/>
      </c>
      <c r="G419" s="7" t="str">
        <f>IF(A419="","",IF(D419=0,"",'Case calculations'!X143))</f>
        <v/>
      </c>
      <c r="H419" s="1" t="str">
        <f>IF(A419="","",IF(D419=0,"NO PATH",IF(G419&lt;Assumptions!$B$5,"BEFORE AS-OF",IF(G419&gt;=Assumptions!$B$7,"BEYOND HORIZON","IN HORIZON"))))</f>
        <v/>
      </c>
    </row>
    <row r="420" spans="1:8" ht="22" customHeight="1">
      <c r="A420" s="1" t="str">
        <f>IF('Case calculations'!C144&lt;&gt;"OK","",'Case calculations'!A144)</f>
        <v/>
      </c>
      <c r="B420" s="1" t="str">
        <f>IF(A420="","",'Case calculations'!B144)</f>
        <v/>
      </c>
      <c r="C420" s="1" t="str">
        <f>IF(A420="","","INITIAL")</f>
        <v/>
      </c>
      <c r="D420" s="19" t="str">
        <f>IF(A420="","",'Case calculations'!N144)</f>
        <v/>
      </c>
      <c r="E420" s="10" t="str">
        <f>IF(A420="","",Assumptions!$B$28)</f>
        <v/>
      </c>
      <c r="F420" s="10" t="str">
        <f t="shared" si="6"/>
        <v/>
      </c>
      <c r="G420" s="7" t="str">
        <f>IF(A420="","",IF(D420=0,"",'Case calculations'!V144))</f>
        <v/>
      </c>
      <c r="H420" s="1" t="str">
        <f>IF(A420="","",IF(D420=0,"NO PATH",IF(G420&lt;Assumptions!$B$5,"BEFORE AS-OF",IF(G420&gt;=Assumptions!$B$7,"BEYOND HORIZON","IN HORIZON"))))</f>
        <v/>
      </c>
    </row>
    <row r="421" spans="1:8" ht="22" customHeight="1">
      <c r="A421" s="1" t="str">
        <f>IF('Case calculations'!C144&lt;&gt;"OK","",'Case calculations'!A144)</f>
        <v/>
      </c>
      <c r="B421" s="1" t="str">
        <f>IF(A421="","",'Case calculations'!B144)</f>
        <v/>
      </c>
      <c r="C421" s="1" t="str">
        <f>IF(A421="","","RECON")</f>
        <v/>
      </c>
      <c r="D421" s="19" t="str">
        <f>IF(A421="","",'Case calculations'!O144)</f>
        <v/>
      </c>
      <c r="E421" s="10" t="str">
        <f>IF(A421="","",Assumptions!$B$29)</f>
        <v/>
      </c>
      <c r="F421" s="10" t="str">
        <f t="shared" si="6"/>
        <v/>
      </c>
      <c r="G421" s="7" t="str">
        <f>IF(A421="","",IF(D421=0,"",'Case calculations'!W144))</f>
        <v/>
      </c>
      <c r="H421" s="1" t="str">
        <f>IF(A421="","",IF(D421=0,"NO PATH",IF(G421&lt;Assumptions!$B$5,"BEFORE AS-OF",IF(G421&gt;=Assumptions!$B$7,"BEYOND HORIZON","IN HORIZON"))))</f>
        <v/>
      </c>
    </row>
    <row r="422" spans="1:8" ht="22" customHeight="1">
      <c r="A422" s="1" t="str">
        <f>IF('Case calculations'!C144&lt;&gt;"OK","",'Case calculations'!A144)</f>
        <v/>
      </c>
      <c r="B422" s="1" t="str">
        <f>IF(A422="","",'Case calculations'!B144)</f>
        <v/>
      </c>
      <c r="C422" s="1" t="str">
        <f>IF(A422="","","HEARING")</f>
        <v/>
      </c>
      <c r="D422" s="19" t="str">
        <f>IF(A422="","",'Case calculations'!S144)</f>
        <v/>
      </c>
      <c r="E422" s="10" t="str">
        <f>IF(A422="","",Assumptions!$B$30)</f>
        <v/>
      </c>
      <c r="F422" s="10" t="str">
        <f t="shared" si="6"/>
        <v/>
      </c>
      <c r="G422" s="7" t="str">
        <f>IF(A422="","",IF(D422=0,"",'Case calculations'!X144))</f>
        <v/>
      </c>
      <c r="H422" s="1" t="str">
        <f>IF(A422="","",IF(D422=0,"NO PATH",IF(G422&lt;Assumptions!$B$5,"BEFORE AS-OF",IF(G422&gt;=Assumptions!$B$7,"BEYOND HORIZON","IN HORIZON"))))</f>
        <v/>
      </c>
    </row>
    <row r="423" spans="1:8" ht="22" customHeight="1">
      <c r="A423" s="1" t="str">
        <f>IF('Case calculations'!C145&lt;&gt;"OK","",'Case calculations'!A145)</f>
        <v/>
      </c>
      <c r="B423" s="1" t="str">
        <f>IF(A423="","",'Case calculations'!B145)</f>
        <v/>
      </c>
      <c r="C423" s="1" t="str">
        <f>IF(A423="","","INITIAL")</f>
        <v/>
      </c>
      <c r="D423" s="19" t="str">
        <f>IF(A423="","",'Case calculations'!N145)</f>
        <v/>
      </c>
      <c r="E423" s="10" t="str">
        <f>IF(A423="","",Assumptions!$B$28)</f>
        <v/>
      </c>
      <c r="F423" s="10" t="str">
        <f t="shared" si="6"/>
        <v/>
      </c>
      <c r="G423" s="7" t="str">
        <f>IF(A423="","",IF(D423=0,"",'Case calculations'!V145))</f>
        <v/>
      </c>
      <c r="H423" s="1" t="str">
        <f>IF(A423="","",IF(D423=0,"NO PATH",IF(G423&lt;Assumptions!$B$5,"BEFORE AS-OF",IF(G423&gt;=Assumptions!$B$7,"BEYOND HORIZON","IN HORIZON"))))</f>
        <v/>
      </c>
    </row>
    <row r="424" spans="1:8" ht="22" customHeight="1">
      <c r="A424" s="1" t="str">
        <f>IF('Case calculations'!C145&lt;&gt;"OK","",'Case calculations'!A145)</f>
        <v/>
      </c>
      <c r="B424" s="1" t="str">
        <f>IF(A424="","",'Case calculations'!B145)</f>
        <v/>
      </c>
      <c r="C424" s="1" t="str">
        <f>IF(A424="","","RECON")</f>
        <v/>
      </c>
      <c r="D424" s="19" t="str">
        <f>IF(A424="","",'Case calculations'!O145)</f>
        <v/>
      </c>
      <c r="E424" s="10" t="str">
        <f>IF(A424="","",Assumptions!$B$29)</f>
        <v/>
      </c>
      <c r="F424" s="10" t="str">
        <f t="shared" si="6"/>
        <v/>
      </c>
      <c r="G424" s="7" t="str">
        <f>IF(A424="","",IF(D424=0,"",'Case calculations'!W145))</f>
        <v/>
      </c>
      <c r="H424" s="1" t="str">
        <f>IF(A424="","",IF(D424=0,"NO PATH",IF(G424&lt;Assumptions!$B$5,"BEFORE AS-OF",IF(G424&gt;=Assumptions!$B$7,"BEYOND HORIZON","IN HORIZON"))))</f>
        <v/>
      </c>
    </row>
    <row r="425" spans="1:8" ht="22" customHeight="1">
      <c r="A425" s="1" t="str">
        <f>IF('Case calculations'!C145&lt;&gt;"OK","",'Case calculations'!A145)</f>
        <v/>
      </c>
      <c r="B425" s="1" t="str">
        <f>IF(A425="","",'Case calculations'!B145)</f>
        <v/>
      </c>
      <c r="C425" s="1" t="str">
        <f>IF(A425="","","HEARING")</f>
        <v/>
      </c>
      <c r="D425" s="19" t="str">
        <f>IF(A425="","",'Case calculations'!S145)</f>
        <v/>
      </c>
      <c r="E425" s="10" t="str">
        <f>IF(A425="","",Assumptions!$B$30)</f>
        <v/>
      </c>
      <c r="F425" s="10" t="str">
        <f t="shared" si="6"/>
        <v/>
      </c>
      <c r="G425" s="7" t="str">
        <f>IF(A425="","",IF(D425=0,"",'Case calculations'!X145))</f>
        <v/>
      </c>
      <c r="H425" s="1" t="str">
        <f>IF(A425="","",IF(D425=0,"NO PATH",IF(G425&lt;Assumptions!$B$5,"BEFORE AS-OF",IF(G425&gt;=Assumptions!$B$7,"BEYOND HORIZON","IN HORIZON"))))</f>
        <v/>
      </c>
    </row>
    <row r="426" spans="1:8" ht="22" customHeight="1">
      <c r="A426" s="1" t="str">
        <f>IF('Case calculations'!C146&lt;&gt;"OK","",'Case calculations'!A146)</f>
        <v/>
      </c>
      <c r="B426" s="1" t="str">
        <f>IF(A426="","",'Case calculations'!B146)</f>
        <v/>
      </c>
      <c r="C426" s="1" t="str">
        <f>IF(A426="","","INITIAL")</f>
        <v/>
      </c>
      <c r="D426" s="19" t="str">
        <f>IF(A426="","",'Case calculations'!N146)</f>
        <v/>
      </c>
      <c r="E426" s="10" t="str">
        <f>IF(A426="","",Assumptions!$B$28)</f>
        <v/>
      </c>
      <c r="F426" s="10" t="str">
        <f t="shared" si="6"/>
        <v/>
      </c>
      <c r="G426" s="7" t="str">
        <f>IF(A426="","",IF(D426=0,"",'Case calculations'!V146))</f>
        <v/>
      </c>
      <c r="H426" s="1" t="str">
        <f>IF(A426="","",IF(D426=0,"NO PATH",IF(G426&lt;Assumptions!$B$5,"BEFORE AS-OF",IF(G426&gt;=Assumptions!$B$7,"BEYOND HORIZON","IN HORIZON"))))</f>
        <v/>
      </c>
    </row>
    <row r="427" spans="1:8" ht="22" customHeight="1">
      <c r="A427" s="1" t="str">
        <f>IF('Case calculations'!C146&lt;&gt;"OK","",'Case calculations'!A146)</f>
        <v/>
      </c>
      <c r="B427" s="1" t="str">
        <f>IF(A427="","",'Case calculations'!B146)</f>
        <v/>
      </c>
      <c r="C427" s="1" t="str">
        <f>IF(A427="","","RECON")</f>
        <v/>
      </c>
      <c r="D427" s="19" t="str">
        <f>IF(A427="","",'Case calculations'!O146)</f>
        <v/>
      </c>
      <c r="E427" s="10" t="str">
        <f>IF(A427="","",Assumptions!$B$29)</f>
        <v/>
      </c>
      <c r="F427" s="10" t="str">
        <f t="shared" si="6"/>
        <v/>
      </c>
      <c r="G427" s="7" t="str">
        <f>IF(A427="","",IF(D427=0,"",'Case calculations'!W146))</f>
        <v/>
      </c>
      <c r="H427" s="1" t="str">
        <f>IF(A427="","",IF(D427=0,"NO PATH",IF(G427&lt;Assumptions!$B$5,"BEFORE AS-OF",IF(G427&gt;=Assumptions!$B$7,"BEYOND HORIZON","IN HORIZON"))))</f>
        <v/>
      </c>
    </row>
    <row r="428" spans="1:8" ht="22" customHeight="1">
      <c r="A428" s="1" t="str">
        <f>IF('Case calculations'!C146&lt;&gt;"OK","",'Case calculations'!A146)</f>
        <v/>
      </c>
      <c r="B428" s="1" t="str">
        <f>IF(A428="","",'Case calculations'!B146)</f>
        <v/>
      </c>
      <c r="C428" s="1" t="str">
        <f>IF(A428="","","HEARING")</f>
        <v/>
      </c>
      <c r="D428" s="19" t="str">
        <f>IF(A428="","",'Case calculations'!S146)</f>
        <v/>
      </c>
      <c r="E428" s="10" t="str">
        <f>IF(A428="","",Assumptions!$B$30)</f>
        <v/>
      </c>
      <c r="F428" s="10" t="str">
        <f t="shared" si="6"/>
        <v/>
      </c>
      <c r="G428" s="7" t="str">
        <f>IF(A428="","",IF(D428=0,"",'Case calculations'!X146))</f>
        <v/>
      </c>
      <c r="H428" s="1" t="str">
        <f>IF(A428="","",IF(D428=0,"NO PATH",IF(G428&lt;Assumptions!$B$5,"BEFORE AS-OF",IF(G428&gt;=Assumptions!$B$7,"BEYOND HORIZON","IN HORIZON"))))</f>
        <v/>
      </c>
    </row>
    <row r="429" spans="1:8" ht="22" customHeight="1">
      <c r="A429" s="1" t="str">
        <f>IF('Case calculations'!C147&lt;&gt;"OK","",'Case calculations'!A147)</f>
        <v/>
      </c>
      <c r="B429" s="1" t="str">
        <f>IF(A429="","",'Case calculations'!B147)</f>
        <v/>
      </c>
      <c r="C429" s="1" t="str">
        <f>IF(A429="","","INITIAL")</f>
        <v/>
      </c>
      <c r="D429" s="19" t="str">
        <f>IF(A429="","",'Case calculations'!N147)</f>
        <v/>
      </c>
      <c r="E429" s="10" t="str">
        <f>IF(A429="","",Assumptions!$B$28)</f>
        <v/>
      </c>
      <c r="F429" s="10" t="str">
        <f t="shared" si="6"/>
        <v/>
      </c>
      <c r="G429" s="7" t="str">
        <f>IF(A429="","",IF(D429=0,"",'Case calculations'!V147))</f>
        <v/>
      </c>
      <c r="H429" s="1" t="str">
        <f>IF(A429="","",IF(D429=0,"NO PATH",IF(G429&lt;Assumptions!$B$5,"BEFORE AS-OF",IF(G429&gt;=Assumptions!$B$7,"BEYOND HORIZON","IN HORIZON"))))</f>
        <v/>
      </c>
    </row>
    <row r="430" spans="1:8" ht="22" customHeight="1">
      <c r="A430" s="1" t="str">
        <f>IF('Case calculations'!C147&lt;&gt;"OK","",'Case calculations'!A147)</f>
        <v/>
      </c>
      <c r="B430" s="1" t="str">
        <f>IF(A430="","",'Case calculations'!B147)</f>
        <v/>
      </c>
      <c r="C430" s="1" t="str">
        <f>IF(A430="","","RECON")</f>
        <v/>
      </c>
      <c r="D430" s="19" t="str">
        <f>IF(A430="","",'Case calculations'!O147)</f>
        <v/>
      </c>
      <c r="E430" s="10" t="str">
        <f>IF(A430="","",Assumptions!$B$29)</f>
        <v/>
      </c>
      <c r="F430" s="10" t="str">
        <f t="shared" si="6"/>
        <v/>
      </c>
      <c r="G430" s="7" t="str">
        <f>IF(A430="","",IF(D430=0,"",'Case calculations'!W147))</f>
        <v/>
      </c>
      <c r="H430" s="1" t="str">
        <f>IF(A430="","",IF(D430=0,"NO PATH",IF(G430&lt;Assumptions!$B$5,"BEFORE AS-OF",IF(G430&gt;=Assumptions!$B$7,"BEYOND HORIZON","IN HORIZON"))))</f>
        <v/>
      </c>
    </row>
    <row r="431" spans="1:8" ht="22" customHeight="1">
      <c r="A431" s="1" t="str">
        <f>IF('Case calculations'!C147&lt;&gt;"OK","",'Case calculations'!A147)</f>
        <v/>
      </c>
      <c r="B431" s="1" t="str">
        <f>IF(A431="","",'Case calculations'!B147)</f>
        <v/>
      </c>
      <c r="C431" s="1" t="str">
        <f>IF(A431="","","HEARING")</f>
        <v/>
      </c>
      <c r="D431" s="19" t="str">
        <f>IF(A431="","",'Case calculations'!S147)</f>
        <v/>
      </c>
      <c r="E431" s="10" t="str">
        <f>IF(A431="","",Assumptions!$B$30)</f>
        <v/>
      </c>
      <c r="F431" s="10" t="str">
        <f t="shared" si="6"/>
        <v/>
      </c>
      <c r="G431" s="7" t="str">
        <f>IF(A431="","",IF(D431=0,"",'Case calculations'!X147))</f>
        <v/>
      </c>
      <c r="H431" s="1" t="str">
        <f>IF(A431="","",IF(D431=0,"NO PATH",IF(G431&lt;Assumptions!$B$5,"BEFORE AS-OF",IF(G431&gt;=Assumptions!$B$7,"BEYOND HORIZON","IN HORIZON"))))</f>
        <v/>
      </c>
    </row>
    <row r="432" spans="1:8" ht="22" customHeight="1">
      <c r="A432" s="1" t="str">
        <f>IF('Case calculations'!C148&lt;&gt;"OK","",'Case calculations'!A148)</f>
        <v/>
      </c>
      <c r="B432" s="1" t="str">
        <f>IF(A432="","",'Case calculations'!B148)</f>
        <v/>
      </c>
      <c r="C432" s="1" t="str">
        <f>IF(A432="","","INITIAL")</f>
        <v/>
      </c>
      <c r="D432" s="19" t="str">
        <f>IF(A432="","",'Case calculations'!N148)</f>
        <v/>
      </c>
      <c r="E432" s="10" t="str">
        <f>IF(A432="","",Assumptions!$B$28)</f>
        <v/>
      </c>
      <c r="F432" s="10" t="str">
        <f t="shared" si="6"/>
        <v/>
      </c>
      <c r="G432" s="7" t="str">
        <f>IF(A432="","",IF(D432=0,"",'Case calculations'!V148))</f>
        <v/>
      </c>
      <c r="H432" s="1" t="str">
        <f>IF(A432="","",IF(D432=0,"NO PATH",IF(G432&lt;Assumptions!$B$5,"BEFORE AS-OF",IF(G432&gt;=Assumptions!$B$7,"BEYOND HORIZON","IN HORIZON"))))</f>
        <v/>
      </c>
    </row>
    <row r="433" spans="1:8" ht="22" customHeight="1">
      <c r="A433" s="1" t="str">
        <f>IF('Case calculations'!C148&lt;&gt;"OK","",'Case calculations'!A148)</f>
        <v/>
      </c>
      <c r="B433" s="1" t="str">
        <f>IF(A433="","",'Case calculations'!B148)</f>
        <v/>
      </c>
      <c r="C433" s="1" t="str">
        <f>IF(A433="","","RECON")</f>
        <v/>
      </c>
      <c r="D433" s="19" t="str">
        <f>IF(A433="","",'Case calculations'!O148)</f>
        <v/>
      </c>
      <c r="E433" s="10" t="str">
        <f>IF(A433="","",Assumptions!$B$29)</f>
        <v/>
      </c>
      <c r="F433" s="10" t="str">
        <f t="shared" si="6"/>
        <v/>
      </c>
      <c r="G433" s="7" t="str">
        <f>IF(A433="","",IF(D433=0,"",'Case calculations'!W148))</f>
        <v/>
      </c>
      <c r="H433" s="1" t="str">
        <f>IF(A433="","",IF(D433=0,"NO PATH",IF(G433&lt;Assumptions!$B$5,"BEFORE AS-OF",IF(G433&gt;=Assumptions!$B$7,"BEYOND HORIZON","IN HORIZON"))))</f>
        <v/>
      </c>
    </row>
    <row r="434" spans="1:8" ht="22" customHeight="1">
      <c r="A434" s="1" t="str">
        <f>IF('Case calculations'!C148&lt;&gt;"OK","",'Case calculations'!A148)</f>
        <v/>
      </c>
      <c r="B434" s="1" t="str">
        <f>IF(A434="","",'Case calculations'!B148)</f>
        <v/>
      </c>
      <c r="C434" s="1" t="str">
        <f>IF(A434="","","HEARING")</f>
        <v/>
      </c>
      <c r="D434" s="19" t="str">
        <f>IF(A434="","",'Case calculations'!S148)</f>
        <v/>
      </c>
      <c r="E434" s="10" t="str">
        <f>IF(A434="","",Assumptions!$B$30)</f>
        <v/>
      </c>
      <c r="F434" s="10" t="str">
        <f t="shared" si="6"/>
        <v/>
      </c>
      <c r="G434" s="7" t="str">
        <f>IF(A434="","",IF(D434=0,"",'Case calculations'!X148))</f>
        <v/>
      </c>
      <c r="H434" s="1" t="str">
        <f>IF(A434="","",IF(D434=0,"NO PATH",IF(G434&lt;Assumptions!$B$5,"BEFORE AS-OF",IF(G434&gt;=Assumptions!$B$7,"BEYOND HORIZON","IN HORIZON"))))</f>
        <v/>
      </c>
    </row>
    <row r="435" spans="1:8" ht="22" customHeight="1">
      <c r="A435" s="1" t="str">
        <f>IF('Case calculations'!C149&lt;&gt;"OK","",'Case calculations'!A149)</f>
        <v/>
      </c>
      <c r="B435" s="1" t="str">
        <f>IF(A435="","",'Case calculations'!B149)</f>
        <v/>
      </c>
      <c r="C435" s="1" t="str">
        <f>IF(A435="","","INITIAL")</f>
        <v/>
      </c>
      <c r="D435" s="19" t="str">
        <f>IF(A435="","",'Case calculations'!N149)</f>
        <v/>
      </c>
      <c r="E435" s="10" t="str">
        <f>IF(A435="","",Assumptions!$B$28)</f>
        <v/>
      </c>
      <c r="F435" s="10" t="str">
        <f t="shared" si="6"/>
        <v/>
      </c>
      <c r="G435" s="7" t="str">
        <f>IF(A435="","",IF(D435=0,"",'Case calculations'!V149))</f>
        <v/>
      </c>
      <c r="H435" s="1" t="str">
        <f>IF(A435="","",IF(D435=0,"NO PATH",IF(G435&lt;Assumptions!$B$5,"BEFORE AS-OF",IF(G435&gt;=Assumptions!$B$7,"BEYOND HORIZON","IN HORIZON"))))</f>
        <v/>
      </c>
    </row>
    <row r="436" spans="1:8" ht="22" customHeight="1">
      <c r="A436" s="1" t="str">
        <f>IF('Case calculations'!C149&lt;&gt;"OK","",'Case calculations'!A149)</f>
        <v/>
      </c>
      <c r="B436" s="1" t="str">
        <f>IF(A436="","",'Case calculations'!B149)</f>
        <v/>
      </c>
      <c r="C436" s="1" t="str">
        <f>IF(A436="","","RECON")</f>
        <v/>
      </c>
      <c r="D436" s="19" t="str">
        <f>IF(A436="","",'Case calculations'!O149)</f>
        <v/>
      </c>
      <c r="E436" s="10" t="str">
        <f>IF(A436="","",Assumptions!$B$29)</f>
        <v/>
      </c>
      <c r="F436" s="10" t="str">
        <f t="shared" si="6"/>
        <v/>
      </c>
      <c r="G436" s="7" t="str">
        <f>IF(A436="","",IF(D436=0,"",'Case calculations'!W149))</f>
        <v/>
      </c>
      <c r="H436" s="1" t="str">
        <f>IF(A436="","",IF(D436=0,"NO PATH",IF(G436&lt;Assumptions!$B$5,"BEFORE AS-OF",IF(G436&gt;=Assumptions!$B$7,"BEYOND HORIZON","IN HORIZON"))))</f>
        <v/>
      </c>
    </row>
    <row r="437" spans="1:8" ht="22" customHeight="1">
      <c r="A437" s="1" t="str">
        <f>IF('Case calculations'!C149&lt;&gt;"OK","",'Case calculations'!A149)</f>
        <v/>
      </c>
      <c r="B437" s="1" t="str">
        <f>IF(A437="","",'Case calculations'!B149)</f>
        <v/>
      </c>
      <c r="C437" s="1" t="str">
        <f>IF(A437="","","HEARING")</f>
        <v/>
      </c>
      <c r="D437" s="19" t="str">
        <f>IF(A437="","",'Case calculations'!S149)</f>
        <v/>
      </c>
      <c r="E437" s="10" t="str">
        <f>IF(A437="","",Assumptions!$B$30)</f>
        <v/>
      </c>
      <c r="F437" s="10" t="str">
        <f t="shared" si="6"/>
        <v/>
      </c>
      <c r="G437" s="7" t="str">
        <f>IF(A437="","",IF(D437=0,"",'Case calculations'!X149))</f>
        <v/>
      </c>
      <c r="H437" s="1" t="str">
        <f>IF(A437="","",IF(D437=0,"NO PATH",IF(G437&lt;Assumptions!$B$5,"BEFORE AS-OF",IF(G437&gt;=Assumptions!$B$7,"BEYOND HORIZON","IN HORIZON"))))</f>
        <v/>
      </c>
    </row>
    <row r="438" spans="1:8" ht="22" customHeight="1">
      <c r="A438" s="1" t="str">
        <f>IF('Case calculations'!C150&lt;&gt;"OK","",'Case calculations'!A150)</f>
        <v/>
      </c>
      <c r="B438" s="1" t="str">
        <f>IF(A438="","",'Case calculations'!B150)</f>
        <v/>
      </c>
      <c r="C438" s="1" t="str">
        <f>IF(A438="","","INITIAL")</f>
        <v/>
      </c>
      <c r="D438" s="19" t="str">
        <f>IF(A438="","",'Case calculations'!N150)</f>
        <v/>
      </c>
      <c r="E438" s="10" t="str">
        <f>IF(A438="","",Assumptions!$B$28)</f>
        <v/>
      </c>
      <c r="F438" s="10" t="str">
        <f t="shared" si="6"/>
        <v/>
      </c>
      <c r="G438" s="7" t="str">
        <f>IF(A438="","",IF(D438=0,"",'Case calculations'!V150))</f>
        <v/>
      </c>
      <c r="H438" s="1" t="str">
        <f>IF(A438="","",IF(D438=0,"NO PATH",IF(G438&lt;Assumptions!$B$5,"BEFORE AS-OF",IF(G438&gt;=Assumptions!$B$7,"BEYOND HORIZON","IN HORIZON"))))</f>
        <v/>
      </c>
    </row>
    <row r="439" spans="1:8" ht="22" customHeight="1">
      <c r="A439" s="1" t="str">
        <f>IF('Case calculations'!C150&lt;&gt;"OK","",'Case calculations'!A150)</f>
        <v/>
      </c>
      <c r="B439" s="1" t="str">
        <f>IF(A439="","",'Case calculations'!B150)</f>
        <v/>
      </c>
      <c r="C439" s="1" t="str">
        <f>IF(A439="","","RECON")</f>
        <v/>
      </c>
      <c r="D439" s="19" t="str">
        <f>IF(A439="","",'Case calculations'!O150)</f>
        <v/>
      </c>
      <c r="E439" s="10" t="str">
        <f>IF(A439="","",Assumptions!$B$29)</f>
        <v/>
      </c>
      <c r="F439" s="10" t="str">
        <f t="shared" si="6"/>
        <v/>
      </c>
      <c r="G439" s="7" t="str">
        <f>IF(A439="","",IF(D439=0,"",'Case calculations'!W150))</f>
        <v/>
      </c>
      <c r="H439" s="1" t="str">
        <f>IF(A439="","",IF(D439=0,"NO PATH",IF(G439&lt;Assumptions!$B$5,"BEFORE AS-OF",IF(G439&gt;=Assumptions!$B$7,"BEYOND HORIZON","IN HORIZON"))))</f>
        <v/>
      </c>
    </row>
    <row r="440" spans="1:8" ht="22" customHeight="1">
      <c r="A440" s="1" t="str">
        <f>IF('Case calculations'!C150&lt;&gt;"OK","",'Case calculations'!A150)</f>
        <v/>
      </c>
      <c r="B440" s="1" t="str">
        <f>IF(A440="","",'Case calculations'!B150)</f>
        <v/>
      </c>
      <c r="C440" s="1" t="str">
        <f>IF(A440="","","HEARING")</f>
        <v/>
      </c>
      <c r="D440" s="19" t="str">
        <f>IF(A440="","",'Case calculations'!S150)</f>
        <v/>
      </c>
      <c r="E440" s="10" t="str">
        <f>IF(A440="","",Assumptions!$B$30)</f>
        <v/>
      </c>
      <c r="F440" s="10" t="str">
        <f t="shared" si="6"/>
        <v/>
      </c>
      <c r="G440" s="7" t="str">
        <f>IF(A440="","",IF(D440=0,"",'Case calculations'!X150))</f>
        <v/>
      </c>
      <c r="H440" s="1" t="str">
        <f>IF(A440="","",IF(D440=0,"NO PATH",IF(G440&lt;Assumptions!$B$5,"BEFORE AS-OF",IF(G440&gt;=Assumptions!$B$7,"BEYOND HORIZON","IN HORIZON"))))</f>
        <v/>
      </c>
    </row>
    <row r="441" spans="1:8" ht="22" customHeight="1">
      <c r="A441" s="1" t="str">
        <f>IF('Case calculations'!C151&lt;&gt;"OK","",'Case calculations'!A151)</f>
        <v/>
      </c>
      <c r="B441" s="1" t="str">
        <f>IF(A441="","",'Case calculations'!B151)</f>
        <v/>
      </c>
      <c r="C441" s="1" t="str">
        <f>IF(A441="","","INITIAL")</f>
        <v/>
      </c>
      <c r="D441" s="19" t="str">
        <f>IF(A441="","",'Case calculations'!N151)</f>
        <v/>
      </c>
      <c r="E441" s="10" t="str">
        <f>IF(A441="","",Assumptions!$B$28)</f>
        <v/>
      </c>
      <c r="F441" s="10" t="str">
        <f t="shared" si="6"/>
        <v/>
      </c>
      <c r="G441" s="7" t="str">
        <f>IF(A441="","",IF(D441=0,"",'Case calculations'!V151))</f>
        <v/>
      </c>
      <c r="H441" s="1" t="str">
        <f>IF(A441="","",IF(D441=0,"NO PATH",IF(G441&lt;Assumptions!$B$5,"BEFORE AS-OF",IF(G441&gt;=Assumptions!$B$7,"BEYOND HORIZON","IN HORIZON"))))</f>
        <v/>
      </c>
    </row>
    <row r="442" spans="1:8" ht="22" customHeight="1">
      <c r="A442" s="1" t="str">
        <f>IF('Case calculations'!C151&lt;&gt;"OK","",'Case calculations'!A151)</f>
        <v/>
      </c>
      <c r="B442" s="1" t="str">
        <f>IF(A442="","",'Case calculations'!B151)</f>
        <v/>
      </c>
      <c r="C442" s="1" t="str">
        <f>IF(A442="","","RECON")</f>
        <v/>
      </c>
      <c r="D442" s="19" t="str">
        <f>IF(A442="","",'Case calculations'!O151)</f>
        <v/>
      </c>
      <c r="E442" s="10" t="str">
        <f>IF(A442="","",Assumptions!$B$29)</f>
        <v/>
      </c>
      <c r="F442" s="10" t="str">
        <f t="shared" si="6"/>
        <v/>
      </c>
      <c r="G442" s="7" t="str">
        <f>IF(A442="","",IF(D442=0,"",'Case calculations'!W151))</f>
        <v/>
      </c>
      <c r="H442" s="1" t="str">
        <f>IF(A442="","",IF(D442=0,"NO PATH",IF(G442&lt;Assumptions!$B$5,"BEFORE AS-OF",IF(G442&gt;=Assumptions!$B$7,"BEYOND HORIZON","IN HORIZON"))))</f>
        <v/>
      </c>
    </row>
    <row r="443" spans="1:8" ht="22" customHeight="1">
      <c r="A443" s="1" t="str">
        <f>IF('Case calculations'!C151&lt;&gt;"OK","",'Case calculations'!A151)</f>
        <v/>
      </c>
      <c r="B443" s="1" t="str">
        <f>IF(A443="","",'Case calculations'!B151)</f>
        <v/>
      </c>
      <c r="C443" s="1" t="str">
        <f>IF(A443="","","HEARING")</f>
        <v/>
      </c>
      <c r="D443" s="19" t="str">
        <f>IF(A443="","",'Case calculations'!S151)</f>
        <v/>
      </c>
      <c r="E443" s="10" t="str">
        <f>IF(A443="","",Assumptions!$B$30)</f>
        <v/>
      </c>
      <c r="F443" s="10" t="str">
        <f t="shared" si="6"/>
        <v/>
      </c>
      <c r="G443" s="7" t="str">
        <f>IF(A443="","",IF(D443=0,"",'Case calculations'!X151))</f>
        <v/>
      </c>
      <c r="H443" s="1" t="str">
        <f>IF(A443="","",IF(D443=0,"NO PATH",IF(G443&lt;Assumptions!$B$5,"BEFORE AS-OF",IF(G443&gt;=Assumptions!$B$7,"BEYOND HORIZON","IN HORIZON"))))</f>
        <v/>
      </c>
    </row>
    <row r="444" spans="1:8" ht="22" customHeight="1">
      <c r="A444" s="1" t="str">
        <f>IF('Case calculations'!C152&lt;&gt;"OK","",'Case calculations'!A152)</f>
        <v/>
      </c>
      <c r="B444" s="1" t="str">
        <f>IF(A444="","",'Case calculations'!B152)</f>
        <v/>
      </c>
      <c r="C444" s="1" t="str">
        <f>IF(A444="","","INITIAL")</f>
        <v/>
      </c>
      <c r="D444" s="19" t="str">
        <f>IF(A444="","",'Case calculations'!N152)</f>
        <v/>
      </c>
      <c r="E444" s="10" t="str">
        <f>IF(A444="","",Assumptions!$B$28)</f>
        <v/>
      </c>
      <c r="F444" s="10" t="str">
        <f t="shared" si="6"/>
        <v/>
      </c>
      <c r="G444" s="7" t="str">
        <f>IF(A444="","",IF(D444=0,"",'Case calculations'!V152))</f>
        <v/>
      </c>
      <c r="H444" s="1" t="str">
        <f>IF(A444="","",IF(D444=0,"NO PATH",IF(G444&lt;Assumptions!$B$5,"BEFORE AS-OF",IF(G444&gt;=Assumptions!$B$7,"BEYOND HORIZON","IN HORIZON"))))</f>
        <v/>
      </c>
    </row>
    <row r="445" spans="1:8" ht="22" customHeight="1">
      <c r="A445" s="1" t="str">
        <f>IF('Case calculations'!C152&lt;&gt;"OK","",'Case calculations'!A152)</f>
        <v/>
      </c>
      <c r="B445" s="1" t="str">
        <f>IF(A445="","",'Case calculations'!B152)</f>
        <v/>
      </c>
      <c r="C445" s="1" t="str">
        <f>IF(A445="","","RECON")</f>
        <v/>
      </c>
      <c r="D445" s="19" t="str">
        <f>IF(A445="","",'Case calculations'!O152)</f>
        <v/>
      </c>
      <c r="E445" s="10" t="str">
        <f>IF(A445="","",Assumptions!$B$29)</f>
        <v/>
      </c>
      <c r="F445" s="10" t="str">
        <f t="shared" si="6"/>
        <v/>
      </c>
      <c r="G445" s="7" t="str">
        <f>IF(A445="","",IF(D445=0,"",'Case calculations'!W152))</f>
        <v/>
      </c>
      <c r="H445" s="1" t="str">
        <f>IF(A445="","",IF(D445=0,"NO PATH",IF(G445&lt;Assumptions!$B$5,"BEFORE AS-OF",IF(G445&gt;=Assumptions!$B$7,"BEYOND HORIZON","IN HORIZON"))))</f>
        <v/>
      </c>
    </row>
    <row r="446" spans="1:8" ht="22" customHeight="1">
      <c r="A446" s="1" t="str">
        <f>IF('Case calculations'!C152&lt;&gt;"OK","",'Case calculations'!A152)</f>
        <v/>
      </c>
      <c r="B446" s="1" t="str">
        <f>IF(A446="","",'Case calculations'!B152)</f>
        <v/>
      </c>
      <c r="C446" s="1" t="str">
        <f>IF(A446="","","HEARING")</f>
        <v/>
      </c>
      <c r="D446" s="19" t="str">
        <f>IF(A446="","",'Case calculations'!S152)</f>
        <v/>
      </c>
      <c r="E446" s="10" t="str">
        <f>IF(A446="","",Assumptions!$B$30)</f>
        <v/>
      </c>
      <c r="F446" s="10" t="str">
        <f t="shared" si="6"/>
        <v/>
      </c>
      <c r="G446" s="7" t="str">
        <f>IF(A446="","",IF(D446=0,"",'Case calculations'!X152))</f>
        <v/>
      </c>
      <c r="H446" s="1" t="str">
        <f>IF(A446="","",IF(D446=0,"NO PATH",IF(G446&lt;Assumptions!$B$5,"BEFORE AS-OF",IF(G446&gt;=Assumptions!$B$7,"BEYOND HORIZON","IN HORIZON"))))</f>
        <v/>
      </c>
    </row>
    <row r="447" spans="1:8" ht="22" customHeight="1">
      <c r="A447" s="1" t="str">
        <f>IF('Case calculations'!C153&lt;&gt;"OK","",'Case calculations'!A153)</f>
        <v/>
      </c>
      <c r="B447" s="1" t="str">
        <f>IF(A447="","",'Case calculations'!B153)</f>
        <v/>
      </c>
      <c r="C447" s="1" t="str">
        <f>IF(A447="","","INITIAL")</f>
        <v/>
      </c>
      <c r="D447" s="19" t="str">
        <f>IF(A447="","",'Case calculations'!N153)</f>
        <v/>
      </c>
      <c r="E447" s="10" t="str">
        <f>IF(A447="","",Assumptions!$B$28)</f>
        <v/>
      </c>
      <c r="F447" s="10" t="str">
        <f t="shared" si="6"/>
        <v/>
      </c>
      <c r="G447" s="7" t="str">
        <f>IF(A447="","",IF(D447=0,"",'Case calculations'!V153))</f>
        <v/>
      </c>
      <c r="H447" s="1" t="str">
        <f>IF(A447="","",IF(D447=0,"NO PATH",IF(G447&lt;Assumptions!$B$5,"BEFORE AS-OF",IF(G447&gt;=Assumptions!$B$7,"BEYOND HORIZON","IN HORIZON"))))</f>
        <v/>
      </c>
    </row>
    <row r="448" spans="1:8" ht="22" customHeight="1">
      <c r="A448" s="1" t="str">
        <f>IF('Case calculations'!C153&lt;&gt;"OK","",'Case calculations'!A153)</f>
        <v/>
      </c>
      <c r="B448" s="1" t="str">
        <f>IF(A448="","",'Case calculations'!B153)</f>
        <v/>
      </c>
      <c r="C448" s="1" t="str">
        <f>IF(A448="","","RECON")</f>
        <v/>
      </c>
      <c r="D448" s="19" t="str">
        <f>IF(A448="","",'Case calculations'!O153)</f>
        <v/>
      </c>
      <c r="E448" s="10" t="str">
        <f>IF(A448="","",Assumptions!$B$29)</f>
        <v/>
      </c>
      <c r="F448" s="10" t="str">
        <f t="shared" si="6"/>
        <v/>
      </c>
      <c r="G448" s="7" t="str">
        <f>IF(A448="","",IF(D448=0,"",'Case calculations'!W153))</f>
        <v/>
      </c>
      <c r="H448" s="1" t="str">
        <f>IF(A448="","",IF(D448=0,"NO PATH",IF(G448&lt;Assumptions!$B$5,"BEFORE AS-OF",IF(G448&gt;=Assumptions!$B$7,"BEYOND HORIZON","IN HORIZON"))))</f>
        <v/>
      </c>
    </row>
    <row r="449" spans="1:8" ht="22" customHeight="1">
      <c r="A449" s="1" t="str">
        <f>IF('Case calculations'!C153&lt;&gt;"OK","",'Case calculations'!A153)</f>
        <v/>
      </c>
      <c r="B449" s="1" t="str">
        <f>IF(A449="","",'Case calculations'!B153)</f>
        <v/>
      </c>
      <c r="C449" s="1" t="str">
        <f>IF(A449="","","HEARING")</f>
        <v/>
      </c>
      <c r="D449" s="19" t="str">
        <f>IF(A449="","",'Case calculations'!S153)</f>
        <v/>
      </c>
      <c r="E449" s="10" t="str">
        <f>IF(A449="","",Assumptions!$B$30)</f>
        <v/>
      </c>
      <c r="F449" s="10" t="str">
        <f t="shared" si="6"/>
        <v/>
      </c>
      <c r="G449" s="7" t="str">
        <f>IF(A449="","",IF(D449=0,"",'Case calculations'!X153))</f>
        <v/>
      </c>
      <c r="H449" s="1" t="str">
        <f>IF(A449="","",IF(D449=0,"NO PATH",IF(G449&lt;Assumptions!$B$5,"BEFORE AS-OF",IF(G449&gt;=Assumptions!$B$7,"BEYOND HORIZON","IN HORIZON"))))</f>
        <v/>
      </c>
    </row>
    <row r="450" spans="1:8" ht="22" customHeight="1">
      <c r="A450" s="1" t="str">
        <f>IF('Case calculations'!C154&lt;&gt;"OK","",'Case calculations'!A154)</f>
        <v/>
      </c>
      <c r="B450" s="1" t="str">
        <f>IF(A450="","",'Case calculations'!B154)</f>
        <v/>
      </c>
      <c r="C450" s="1" t="str">
        <f>IF(A450="","","INITIAL")</f>
        <v/>
      </c>
      <c r="D450" s="19" t="str">
        <f>IF(A450="","",'Case calculations'!N154)</f>
        <v/>
      </c>
      <c r="E450" s="10" t="str">
        <f>IF(A450="","",Assumptions!$B$28)</f>
        <v/>
      </c>
      <c r="F450" s="10" t="str">
        <f t="shared" si="6"/>
        <v/>
      </c>
      <c r="G450" s="7" t="str">
        <f>IF(A450="","",IF(D450=0,"",'Case calculations'!V154))</f>
        <v/>
      </c>
      <c r="H450" s="1" t="str">
        <f>IF(A450="","",IF(D450=0,"NO PATH",IF(G450&lt;Assumptions!$B$5,"BEFORE AS-OF",IF(G450&gt;=Assumptions!$B$7,"BEYOND HORIZON","IN HORIZON"))))</f>
        <v/>
      </c>
    </row>
    <row r="451" spans="1:8" ht="22" customHeight="1">
      <c r="A451" s="1" t="str">
        <f>IF('Case calculations'!C154&lt;&gt;"OK","",'Case calculations'!A154)</f>
        <v/>
      </c>
      <c r="B451" s="1" t="str">
        <f>IF(A451="","",'Case calculations'!B154)</f>
        <v/>
      </c>
      <c r="C451" s="1" t="str">
        <f>IF(A451="","","RECON")</f>
        <v/>
      </c>
      <c r="D451" s="19" t="str">
        <f>IF(A451="","",'Case calculations'!O154)</f>
        <v/>
      </c>
      <c r="E451" s="10" t="str">
        <f>IF(A451="","",Assumptions!$B$29)</f>
        <v/>
      </c>
      <c r="F451" s="10" t="str">
        <f t="shared" si="6"/>
        <v/>
      </c>
      <c r="G451" s="7" t="str">
        <f>IF(A451="","",IF(D451=0,"",'Case calculations'!W154))</f>
        <v/>
      </c>
      <c r="H451" s="1" t="str">
        <f>IF(A451="","",IF(D451=0,"NO PATH",IF(G451&lt;Assumptions!$B$5,"BEFORE AS-OF",IF(G451&gt;=Assumptions!$B$7,"BEYOND HORIZON","IN HORIZON"))))</f>
        <v/>
      </c>
    </row>
    <row r="452" spans="1:8" ht="22" customHeight="1">
      <c r="A452" s="1" t="str">
        <f>IF('Case calculations'!C154&lt;&gt;"OK","",'Case calculations'!A154)</f>
        <v/>
      </c>
      <c r="B452" s="1" t="str">
        <f>IF(A452="","",'Case calculations'!B154)</f>
        <v/>
      </c>
      <c r="C452" s="1" t="str">
        <f>IF(A452="","","HEARING")</f>
        <v/>
      </c>
      <c r="D452" s="19" t="str">
        <f>IF(A452="","",'Case calculations'!S154)</f>
        <v/>
      </c>
      <c r="E452" s="10" t="str">
        <f>IF(A452="","",Assumptions!$B$30)</f>
        <v/>
      </c>
      <c r="F452" s="10" t="str">
        <f t="shared" si="6"/>
        <v/>
      </c>
      <c r="G452" s="7" t="str">
        <f>IF(A452="","",IF(D452=0,"",'Case calculations'!X154))</f>
        <v/>
      </c>
      <c r="H452" s="1" t="str">
        <f>IF(A452="","",IF(D452=0,"NO PATH",IF(G452&lt;Assumptions!$B$5,"BEFORE AS-OF",IF(G452&gt;=Assumptions!$B$7,"BEYOND HORIZON","IN HORIZON"))))</f>
        <v/>
      </c>
    </row>
    <row r="453" spans="1:8" ht="22" customHeight="1">
      <c r="A453" s="1" t="str">
        <f>IF('Case calculations'!C155&lt;&gt;"OK","",'Case calculations'!A155)</f>
        <v/>
      </c>
      <c r="B453" s="1" t="str">
        <f>IF(A453="","",'Case calculations'!B155)</f>
        <v/>
      </c>
      <c r="C453" s="1" t="str">
        <f>IF(A453="","","INITIAL")</f>
        <v/>
      </c>
      <c r="D453" s="19" t="str">
        <f>IF(A453="","",'Case calculations'!N155)</f>
        <v/>
      </c>
      <c r="E453" s="10" t="str">
        <f>IF(A453="","",Assumptions!$B$28)</f>
        <v/>
      </c>
      <c r="F453" s="10" t="str">
        <f t="shared" si="6"/>
        <v/>
      </c>
      <c r="G453" s="7" t="str">
        <f>IF(A453="","",IF(D453=0,"",'Case calculations'!V155))</f>
        <v/>
      </c>
      <c r="H453" s="1" t="str">
        <f>IF(A453="","",IF(D453=0,"NO PATH",IF(G453&lt;Assumptions!$B$5,"BEFORE AS-OF",IF(G453&gt;=Assumptions!$B$7,"BEYOND HORIZON","IN HORIZON"))))</f>
        <v/>
      </c>
    </row>
    <row r="454" spans="1:8" ht="22" customHeight="1">
      <c r="A454" s="1" t="str">
        <f>IF('Case calculations'!C155&lt;&gt;"OK","",'Case calculations'!A155)</f>
        <v/>
      </c>
      <c r="B454" s="1" t="str">
        <f>IF(A454="","",'Case calculations'!B155)</f>
        <v/>
      </c>
      <c r="C454" s="1" t="str">
        <f>IF(A454="","","RECON")</f>
        <v/>
      </c>
      <c r="D454" s="19" t="str">
        <f>IF(A454="","",'Case calculations'!O155)</f>
        <v/>
      </c>
      <c r="E454" s="10" t="str">
        <f>IF(A454="","",Assumptions!$B$29)</f>
        <v/>
      </c>
      <c r="F454" s="10" t="str">
        <f t="shared" ref="F454:F517" si="7">IF(A454="","",D454*E454)</f>
        <v/>
      </c>
      <c r="G454" s="7" t="str">
        <f>IF(A454="","",IF(D454=0,"",'Case calculations'!W155))</f>
        <v/>
      </c>
      <c r="H454" s="1" t="str">
        <f>IF(A454="","",IF(D454=0,"NO PATH",IF(G454&lt;Assumptions!$B$5,"BEFORE AS-OF",IF(G454&gt;=Assumptions!$B$7,"BEYOND HORIZON","IN HORIZON"))))</f>
        <v/>
      </c>
    </row>
    <row r="455" spans="1:8" ht="22" customHeight="1">
      <c r="A455" s="1" t="str">
        <f>IF('Case calculations'!C155&lt;&gt;"OK","",'Case calculations'!A155)</f>
        <v/>
      </c>
      <c r="B455" s="1" t="str">
        <f>IF(A455="","",'Case calculations'!B155)</f>
        <v/>
      </c>
      <c r="C455" s="1" t="str">
        <f>IF(A455="","","HEARING")</f>
        <v/>
      </c>
      <c r="D455" s="19" t="str">
        <f>IF(A455="","",'Case calculations'!S155)</f>
        <v/>
      </c>
      <c r="E455" s="10" t="str">
        <f>IF(A455="","",Assumptions!$B$30)</f>
        <v/>
      </c>
      <c r="F455" s="10" t="str">
        <f t="shared" si="7"/>
        <v/>
      </c>
      <c r="G455" s="7" t="str">
        <f>IF(A455="","",IF(D455=0,"",'Case calculations'!X155))</f>
        <v/>
      </c>
      <c r="H455" s="1" t="str">
        <f>IF(A455="","",IF(D455=0,"NO PATH",IF(G455&lt;Assumptions!$B$5,"BEFORE AS-OF",IF(G455&gt;=Assumptions!$B$7,"BEYOND HORIZON","IN HORIZON"))))</f>
        <v/>
      </c>
    </row>
    <row r="456" spans="1:8" ht="22" customHeight="1">
      <c r="A456" s="1" t="str">
        <f>IF('Case calculations'!C156&lt;&gt;"OK","",'Case calculations'!A156)</f>
        <v/>
      </c>
      <c r="B456" s="1" t="str">
        <f>IF(A456="","",'Case calculations'!B156)</f>
        <v/>
      </c>
      <c r="C456" s="1" t="str">
        <f>IF(A456="","","INITIAL")</f>
        <v/>
      </c>
      <c r="D456" s="19" t="str">
        <f>IF(A456="","",'Case calculations'!N156)</f>
        <v/>
      </c>
      <c r="E456" s="10" t="str">
        <f>IF(A456="","",Assumptions!$B$28)</f>
        <v/>
      </c>
      <c r="F456" s="10" t="str">
        <f t="shared" si="7"/>
        <v/>
      </c>
      <c r="G456" s="7" t="str">
        <f>IF(A456="","",IF(D456=0,"",'Case calculations'!V156))</f>
        <v/>
      </c>
      <c r="H456" s="1" t="str">
        <f>IF(A456="","",IF(D456=0,"NO PATH",IF(G456&lt;Assumptions!$B$5,"BEFORE AS-OF",IF(G456&gt;=Assumptions!$B$7,"BEYOND HORIZON","IN HORIZON"))))</f>
        <v/>
      </c>
    </row>
    <row r="457" spans="1:8" ht="22" customHeight="1">
      <c r="A457" s="1" t="str">
        <f>IF('Case calculations'!C156&lt;&gt;"OK","",'Case calculations'!A156)</f>
        <v/>
      </c>
      <c r="B457" s="1" t="str">
        <f>IF(A457="","",'Case calculations'!B156)</f>
        <v/>
      </c>
      <c r="C457" s="1" t="str">
        <f>IF(A457="","","RECON")</f>
        <v/>
      </c>
      <c r="D457" s="19" t="str">
        <f>IF(A457="","",'Case calculations'!O156)</f>
        <v/>
      </c>
      <c r="E457" s="10" t="str">
        <f>IF(A457="","",Assumptions!$B$29)</f>
        <v/>
      </c>
      <c r="F457" s="10" t="str">
        <f t="shared" si="7"/>
        <v/>
      </c>
      <c r="G457" s="7" t="str">
        <f>IF(A457="","",IF(D457=0,"",'Case calculations'!W156))</f>
        <v/>
      </c>
      <c r="H457" s="1" t="str">
        <f>IF(A457="","",IF(D457=0,"NO PATH",IF(G457&lt;Assumptions!$B$5,"BEFORE AS-OF",IF(G457&gt;=Assumptions!$B$7,"BEYOND HORIZON","IN HORIZON"))))</f>
        <v/>
      </c>
    </row>
    <row r="458" spans="1:8" ht="22" customHeight="1">
      <c r="A458" s="1" t="str">
        <f>IF('Case calculations'!C156&lt;&gt;"OK","",'Case calculations'!A156)</f>
        <v/>
      </c>
      <c r="B458" s="1" t="str">
        <f>IF(A458="","",'Case calculations'!B156)</f>
        <v/>
      </c>
      <c r="C458" s="1" t="str">
        <f>IF(A458="","","HEARING")</f>
        <v/>
      </c>
      <c r="D458" s="19" t="str">
        <f>IF(A458="","",'Case calculations'!S156)</f>
        <v/>
      </c>
      <c r="E458" s="10" t="str">
        <f>IF(A458="","",Assumptions!$B$30)</f>
        <v/>
      </c>
      <c r="F458" s="10" t="str">
        <f t="shared" si="7"/>
        <v/>
      </c>
      <c r="G458" s="7" t="str">
        <f>IF(A458="","",IF(D458=0,"",'Case calculations'!X156))</f>
        <v/>
      </c>
      <c r="H458" s="1" t="str">
        <f>IF(A458="","",IF(D458=0,"NO PATH",IF(G458&lt;Assumptions!$B$5,"BEFORE AS-OF",IF(G458&gt;=Assumptions!$B$7,"BEYOND HORIZON","IN HORIZON"))))</f>
        <v/>
      </c>
    </row>
    <row r="459" spans="1:8" ht="22" customHeight="1">
      <c r="A459" s="1" t="str">
        <f>IF('Case calculations'!C157&lt;&gt;"OK","",'Case calculations'!A157)</f>
        <v/>
      </c>
      <c r="B459" s="1" t="str">
        <f>IF(A459="","",'Case calculations'!B157)</f>
        <v/>
      </c>
      <c r="C459" s="1" t="str">
        <f>IF(A459="","","INITIAL")</f>
        <v/>
      </c>
      <c r="D459" s="19" t="str">
        <f>IF(A459="","",'Case calculations'!N157)</f>
        <v/>
      </c>
      <c r="E459" s="10" t="str">
        <f>IF(A459="","",Assumptions!$B$28)</f>
        <v/>
      </c>
      <c r="F459" s="10" t="str">
        <f t="shared" si="7"/>
        <v/>
      </c>
      <c r="G459" s="7" t="str">
        <f>IF(A459="","",IF(D459=0,"",'Case calculations'!V157))</f>
        <v/>
      </c>
      <c r="H459" s="1" t="str">
        <f>IF(A459="","",IF(D459=0,"NO PATH",IF(G459&lt;Assumptions!$B$5,"BEFORE AS-OF",IF(G459&gt;=Assumptions!$B$7,"BEYOND HORIZON","IN HORIZON"))))</f>
        <v/>
      </c>
    </row>
    <row r="460" spans="1:8" ht="22" customHeight="1">
      <c r="A460" s="1" t="str">
        <f>IF('Case calculations'!C157&lt;&gt;"OK","",'Case calculations'!A157)</f>
        <v/>
      </c>
      <c r="B460" s="1" t="str">
        <f>IF(A460="","",'Case calculations'!B157)</f>
        <v/>
      </c>
      <c r="C460" s="1" t="str">
        <f>IF(A460="","","RECON")</f>
        <v/>
      </c>
      <c r="D460" s="19" t="str">
        <f>IF(A460="","",'Case calculations'!O157)</f>
        <v/>
      </c>
      <c r="E460" s="10" t="str">
        <f>IF(A460="","",Assumptions!$B$29)</f>
        <v/>
      </c>
      <c r="F460" s="10" t="str">
        <f t="shared" si="7"/>
        <v/>
      </c>
      <c r="G460" s="7" t="str">
        <f>IF(A460="","",IF(D460=0,"",'Case calculations'!W157))</f>
        <v/>
      </c>
      <c r="H460" s="1" t="str">
        <f>IF(A460="","",IF(D460=0,"NO PATH",IF(G460&lt;Assumptions!$B$5,"BEFORE AS-OF",IF(G460&gt;=Assumptions!$B$7,"BEYOND HORIZON","IN HORIZON"))))</f>
        <v/>
      </c>
    </row>
    <row r="461" spans="1:8" ht="22" customHeight="1">
      <c r="A461" s="1" t="str">
        <f>IF('Case calculations'!C157&lt;&gt;"OK","",'Case calculations'!A157)</f>
        <v/>
      </c>
      <c r="B461" s="1" t="str">
        <f>IF(A461="","",'Case calculations'!B157)</f>
        <v/>
      </c>
      <c r="C461" s="1" t="str">
        <f>IF(A461="","","HEARING")</f>
        <v/>
      </c>
      <c r="D461" s="19" t="str">
        <f>IF(A461="","",'Case calculations'!S157)</f>
        <v/>
      </c>
      <c r="E461" s="10" t="str">
        <f>IF(A461="","",Assumptions!$B$30)</f>
        <v/>
      </c>
      <c r="F461" s="10" t="str">
        <f t="shared" si="7"/>
        <v/>
      </c>
      <c r="G461" s="7" t="str">
        <f>IF(A461="","",IF(D461=0,"",'Case calculations'!X157))</f>
        <v/>
      </c>
      <c r="H461" s="1" t="str">
        <f>IF(A461="","",IF(D461=0,"NO PATH",IF(G461&lt;Assumptions!$B$5,"BEFORE AS-OF",IF(G461&gt;=Assumptions!$B$7,"BEYOND HORIZON","IN HORIZON"))))</f>
        <v/>
      </c>
    </row>
    <row r="462" spans="1:8" ht="22" customHeight="1">
      <c r="A462" s="1" t="str">
        <f>IF('Case calculations'!C158&lt;&gt;"OK","",'Case calculations'!A158)</f>
        <v/>
      </c>
      <c r="B462" s="1" t="str">
        <f>IF(A462="","",'Case calculations'!B158)</f>
        <v/>
      </c>
      <c r="C462" s="1" t="str">
        <f>IF(A462="","","INITIAL")</f>
        <v/>
      </c>
      <c r="D462" s="19" t="str">
        <f>IF(A462="","",'Case calculations'!N158)</f>
        <v/>
      </c>
      <c r="E462" s="10" t="str">
        <f>IF(A462="","",Assumptions!$B$28)</f>
        <v/>
      </c>
      <c r="F462" s="10" t="str">
        <f t="shared" si="7"/>
        <v/>
      </c>
      <c r="G462" s="7" t="str">
        <f>IF(A462="","",IF(D462=0,"",'Case calculations'!V158))</f>
        <v/>
      </c>
      <c r="H462" s="1" t="str">
        <f>IF(A462="","",IF(D462=0,"NO PATH",IF(G462&lt;Assumptions!$B$5,"BEFORE AS-OF",IF(G462&gt;=Assumptions!$B$7,"BEYOND HORIZON","IN HORIZON"))))</f>
        <v/>
      </c>
    </row>
    <row r="463" spans="1:8" ht="22" customHeight="1">
      <c r="A463" s="1" t="str">
        <f>IF('Case calculations'!C158&lt;&gt;"OK","",'Case calculations'!A158)</f>
        <v/>
      </c>
      <c r="B463" s="1" t="str">
        <f>IF(A463="","",'Case calculations'!B158)</f>
        <v/>
      </c>
      <c r="C463" s="1" t="str">
        <f>IF(A463="","","RECON")</f>
        <v/>
      </c>
      <c r="D463" s="19" t="str">
        <f>IF(A463="","",'Case calculations'!O158)</f>
        <v/>
      </c>
      <c r="E463" s="10" t="str">
        <f>IF(A463="","",Assumptions!$B$29)</f>
        <v/>
      </c>
      <c r="F463" s="10" t="str">
        <f t="shared" si="7"/>
        <v/>
      </c>
      <c r="G463" s="7" t="str">
        <f>IF(A463="","",IF(D463=0,"",'Case calculations'!W158))</f>
        <v/>
      </c>
      <c r="H463" s="1" t="str">
        <f>IF(A463="","",IF(D463=0,"NO PATH",IF(G463&lt;Assumptions!$B$5,"BEFORE AS-OF",IF(G463&gt;=Assumptions!$B$7,"BEYOND HORIZON","IN HORIZON"))))</f>
        <v/>
      </c>
    </row>
    <row r="464" spans="1:8" ht="22" customHeight="1">
      <c r="A464" s="1" t="str">
        <f>IF('Case calculations'!C158&lt;&gt;"OK","",'Case calculations'!A158)</f>
        <v/>
      </c>
      <c r="B464" s="1" t="str">
        <f>IF(A464="","",'Case calculations'!B158)</f>
        <v/>
      </c>
      <c r="C464" s="1" t="str">
        <f>IF(A464="","","HEARING")</f>
        <v/>
      </c>
      <c r="D464" s="19" t="str">
        <f>IF(A464="","",'Case calculations'!S158)</f>
        <v/>
      </c>
      <c r="E464" s="10" t="str">
        <f>IF(A464="","",Assumptions!$B$30)</f>
        <v/>
      </c>
      <c r="F464" s="10" t="str">
        <f t="shared" si="7"/>
        <v/>
      </c>
      <c r="G464" s="7" t="str">
        <f>IF(A464="","",IF(D464=0,"",'Case calculations'!X158))</f>
        <v/>
      </c>
      <c r="H464" s="1" t="str">
        <f>IF(A464="","",IF(D464=0,"NO PATH",IF(G464&lt;Assumptions!$B$5,"BEFORE AS-OF",IF(G464&gt;=Assumptions!$B$7,"BEYOND HORIZON","IN HORIZON"))))</f>
        <v/>
      </c>
    </row>
    <row r="465" spans="1:8" ht="22" customHeight="1">
      <c r="A465" s="1" t="str">
        <f>IF('Case calculations'!C159&lt;&gt;"OK","",'Case calculations'!A159)</f>
        <v/>
      </c>
      <c r="B465" s="1" t="str">
        <f>IF(A465="","",'Case calculations'!B159)</f>
        <v/>
      </c>
      <c r="C465" s="1" t="str">
        <f>IF(A465="","","INITIAL")</f>
        <v/>
      </c>
      <c r="D465" s="19" t="str">
        <f>IF(A465="","",'Case calculations'!N159)</f>
        <v/>
      </c>
      <c r="E465" s="10" t="str">
        <f>IF(A465="","",Assumptions!$B$28)</f>
        <v/>
      </c>
      <c r="F465" s="10" t="str">
        <f t="shared" si="7"/>
        <v/>
      </c>
      <c r="G465" s="7" t="str">
        <f>IF(A465="","",IF(D465=0,"",'Case calculations'!V159))</f>
        <v/>
      </c>
      <c r="H465" s="1" t="str">
        <f>IF(A465="","",IF(D465=0,"NO PATH",IF(G465&lt;Assumptions!$B$5,"BEFORE AS-OF",IF(G465&gt;=Assumptions!$B$7,"BEYOND HORIZON","IN HORIZON"))))</f>
        <v/>
      </c>
    </row>
    <row r="466" spans="1:8" ht="22" customHeight="1">
      <c r="A466" s="1" t="str">
        <f>IF('Case calculations'!C159&lt;&gt;"OK","",'Case calculations'!A159)</f>
        <v/>
      </c>
      <c r="B466" s="1" t="str">
        <f>IF(A466="","",'Case calculations'!B159)</f>
        <v/>
      </c>
      <c r="C466" s="1" t="str">
        <f>IF(A466="","","RECON")</f>
        <v/>
      </c>
      <c r="D466" s="19" t="str">
        <f>IF(A466="","",'Case calculations'!O159)</f>
        <v/>
      </c>
      <c r="E466" s="10" t="str">
        <f>IF(A466="","",Assumptions!$B$29)</f>
        <v/>
      </c>
      <c r="F466" s="10" t="str">
        <f t="shared" si="7"/>
        <v/>
      </c>
      <c r="G466" s="7" t="str">
        <f>IF(A466="","",IF(D466=0,"",'Case calculations'!W159))</f>
        <v/>
      </c>
      <c r="H466" s="1" t="str">
        <f>IF(A466="","",IF(D466=0,"NO PATH",IF(G466&lt;Assumptions!$B$5,"BEFORE AS-OF",IF(G466&gt;=Assumptions!$B$7,"BEYOND HORIZON","IN HORIZON"))))</f>
        <v/>
      </c>
    </row>
    <row r="467" spans="1:8" ht="22" customHeight="1">
      <c r="A467" s="1" t="str">
        <f>IF('Case calculations'!C159&lt;&gt;"OK","",'Case calculations'!A159)</f>
        <v/>
      </c>
      <c r="B467" s="1" t="str">
        <f>IF(A467="","",'Case calculations'!B159)</f>
        <v/>
      </c>
      <c r="C467" s="1" t="str">
        <f>IF(A467="","","HEARING")</f>
        <v/>
      </c>
      <c r="D467" s="19" t="str">
        <f>IF(A467="","",'Case calculations'!S159)</f>
        <v/>
      </c>
      <c r="E467" s="10" t="str">
        <f>IF(A467="","",Assumptions!$B$30)</f>
        <v/>
      </c>
      <c r="F467" s="10" t="str">
        <f t="shared" si="7"/>
        <v/>
      </c>
      <c r="G467" s="7" t="str">
        <f>IF(A467="","",IF(D467=0,"",'Case calculations'!X159))</f>
        <v/>
      </c>
      <c r="H467" s="1" t="str">
        <f>IF(A467="","",IF(D467=0,"NO PATH",IF(G467&lt;Assumptions!$B$5,"BEFORE AS-OF",IF(G467&gt;=Assumptions!$B$7,"BEYOND HORIZON","IN HORIZON"))))</f>
        <v/>
      </c>
    </row>
    <row r="468" spans="1:8" ht="22" customHeight="1">
      <c r="A468" s="1" t="str">
        <f>IF('Case calculations'!C160&lt;&gt;"OK","",'Case calculations'!A160)</f>
        <v/>
      </c>
      <c r="B468" s="1" t="str">
        <f>IF(A468="","",'Case calculations'!B160)</f>
        <v/>
      </c>
      <c r="C468" s="1" t="str">
        <f>IF(A468="","","INITIAL")</f>
        <v/>
      </c>
      <c r="D468" s="19" t="str">
        <f>IF(A468="","",'Case calculations'!N160)</f>
        <v/>
      </c>
      <c r="E468" s="10" t="str">
        <f>IF(A468="","",Assumptions!$B$28)</f>
        <v/>
      </c>
      <c r="F468" s="10" t="str">
        <f t="shared" si="7"/>
        <v/>
      </c>
      <c r="G468" s="7" t="str">
        <f>IF(A468="","",IF(D468=0,"",'Case calculations'!V160))</f>
        <v/>
      </c>
      <c r="H468" s="1" t="str">
        <f>IF(A468="","",IF(D468=0,"NO PATH",IF(G468&lt;Assumptions!$B$5,"BEFORE AS-OF",IF(G468&gt;=Assumptions!$B$7,"BEYOND HORIZON","IN HORIZON"))))</f>
        <v/>
      </c>
    </row>
    <row r="469" spans="1:8" ht="22" customHeight="1">
      <c r="A469" s="1" t="str">
        <f>IF('Case calculations'!C160&lt;&gt;"OK","",'Case calculations'!A160)</f>
        <v/>
      </c>
      <c r="B469" s="1" t="str">
        <f>IF(A469="","",'Case calculations'!B160)</f>
        <v/>
      </c>
      <c r="C469" s="1" t="str">
        <f>IF(A469="","","RECON")</f>
        <v/>
      </c>
      <c r="D469" s="19" t="str">
        <f>IF(A469="","",'Case calculations'!O160)</f>
        <v/>
      </c>
      <c r="E469" s="10" t="str">
        <f>IF(A469="","",Assumptions!$B$29)</f>
        <v/>
      </c>
      <c r="F469" s="10" t="str">
        <f t="shared" si="7"/>
        <v/>
      </c>
      <c r="G469" s="7" t="str">
        <f>IF(A469="","",IF(D469=0,"",'Case calculations'!W160))</f>
        <v/>
      </c>
      <c r="H469" s="1" t="str">
        <f>IF(A469="","",IF(D469=0,"NO PATH",IF(G469&lt;Assumptions!$B$5,"BEFORE AS-OF",IF(G469&gt;=Assumptions!$B$7,"BEYOND HORIZON","IN HORIZON"))))</f>
        <v/>
      </c>
    </row>
    <row r="470" spans="1:8" ht="22" customHeight="1">
      <c r="A470" s="1" t="str">
        <f>IF('Case calculations'!C160&lt;&gt;"OK","",'Case calculations'!A160)</f>
        <v/>
      </c>
      <c r="B470" s="1" t="str">
        <f>IF(A470="","",'Case calculations'!B160)</f>
        <v/>
      </c>
      <c r="C470" s="1" t="str">
        <f>IF(A470="","","HEARING")</f>
        <v/>
      </c>
      <c r="D470" s="19" t="str">
        <f>IF(A470="","",'Case calculations'!S160)</f>
        <v/>
      </c>
      <c r="E470" s="10" t="str">
        <f>IF(A470="","",Assumptions!$B$30)</f>
        <v/>
      </c>
      <c r="F470" s="10" t="str">
        <f t="shared" si="7"/>
        <v/>
      </c>
      <c r="G470" s="7" t="str">
        <f>IF(A470="","",IF(D470=0,"",'Case calculations'!X160))</f>
        <v/>
      </c>
      <c r="H470" s="1" t="str">
        <f>IF(A470="","",IF(D470=0,"NO PATH",IF(G470&lt;Assumptions!$B$5,"BEFORE AS-OF",IF(G470&gt;=Assumptions!$B$7,"BEYOND HORIZON","IN HORIZON"))))</f>
        <v/>
      </c>
    </row>
    <row r="471" spans="1:8" ht="22" customHeight="1">
      <c r="A471" s="1" t="str">
        <f>IF('Case calculations'!C161&lt;&gt;"OK","",'Case calculations'!A161)</f>
        <v/>
      </c>
      <c r="B471" s="1" t="str">
        <f>IF(A471="","",'Case calculations'!B161)</f>
        <v/>
      </c>
      <c r="C471" s="1" t="str">
        <f>IF(A471="","","INITIAL")</f>
        <v/>
      </c>
      <c r="D471" s="19" t="str">
        <f>IF(A471="","",'Case calculations'!N161)</f>
        <v/>
      </c>
      <c r="E471" s="10" t="str">
        <f>IF(A471="","",Assumptions!$B$28)</f>
        <v/>
      </c>
      <c r="F471" s="10" t="str">
        <f t="shared" si="7"/>
        <v/>
      </c>
      <c r="G471" s="7" t="str">
        <f>IF(A471="","",IF(D471=0,"",'Case calculations'!V161))</f>
        <v/>
      </c>
      <c r="H471" s="1" t="str">
        <f>IF(A471="","",IF(D471=0,"NO PATH",IF(G471&lt;Assumptions!$B$5,"BEFORE AS-OF",IF(G471&gt;=Assumptions!$B$7,"BEYOND HORIZON","IN HORIZON"))))</f>
        <v/>
      </c>
    </row>
    <row r="472" spans="1:8" ht="22" customHeight="1">
      <c r="A472" s="1" t="str">
        <f>IF('Case calculations'!C161&lt;&gt;"OK","",'Case calculations'!A161)</f>
        <v/>
      </c>
      <c r="B472" s="1" t="str">
        <f>IF(A472="","",'Case calculations'!B161)</f>
        <v/>
      </c>
      <c r="C472" s="1" t="str">
        <f>IF(A472="","","RECON")</f>
        <v/>
      </c>
      <c r="D472" s="19" t="str">
        <f>IF(A472="","",'Case calculations'!O161)</f>
        <v/>
      </c>
      <c r="E472" s="10" t="str">
        <f>IF(A472="","",Assumptions!$B$29)</f>
        <v/>
      </c>
      <c r="F472" s="10" t="str">
        <f t="shared" si="7"/>
        <v/>
      </c>
      <c r="G472" s="7" t="str">
        <f>IF(A472="","",IF(D472=0,"",'Case calculations'!W161))</f>
        <v/>
      </c>
      <c r="H472" s="1" t="str">
        <f>IF(A472="","",IF(D472=0,"NO PATH",IF(G472&lt;Assumptions!$B$5,"BEFORE AS-OF",IF(G472&gt;=Assumptions!$B$7,"BEYOND HORIZON","IN HORIZON"))))</f>
        <v/>
      </c>
    </row>
    <row r="473" spans="1:8" ht="22" customHeight="1">
      <c r="A473" s="1" t="str">
        <f>IF('Case calculations'!C161&lt;&gt;"OK","",'Case calculations'!A161)</f>
        <v/>
      </c>
      <c r="B473" s="1" t="str">
        <f>IF(A473="","",'Case calculations'!B161)</f>
        <v/>
      </c>
      <c r="C473" s="1" t="str">
        <f>IF(A473="","","HEARING")</f>
        <v/>
      </c>
      <c r="D473" s="19" t="str">
        <f>IF(A473="","",'Case calculations'!S161)</f>
        <v/>
      </c>
      <c r="E473" s="10" t="str">
        <f>IF(A473="","",Assumptions!$B$30)</f>
        <v/>
      </c>
      <c r="F473" s="10" t="str">
        <f t="shared" si="7"/>
        <v/>
      </c>
      <c r="G473" s="7" t="str">
        <f>IF(A473="","",IF(D473=0,"",'Case calculations'!X161))</f>
        <v/>
      </c>
      <c r="H473" s="1" t="str">
        <f>IF(A473="","",IF(D473=0,"NO PATH",IF(G473&lt;Assumptions!$B$5,"BEFORE AS-OF",IF(G473&gt;=Assumptions!$B$7,"BEYOND HORIZON","IN HORIZON"))))</f>
        <v/>
      </c>
    </row>
    <row r="474" spans="1:8" ht="22" customHeight="1">
      <c r="A474" s="1" t="str">
        <f>IF('Case calculations'!C162&lt;&gt;"OK","",'Case calculations'!A162)</f>
        <v/>
      </c>
      <c r="B474" s="1" t="str">
        <f>IF(A474="","",'Case calculations'!B162)</f>
        <v/>
      </c>
      <c r="C474" s="1" t="str">
        <f>IF(A474="","","INITIAL")</f>
        <v/>
      </c>
      <c r="D474" s="19" t="str">
        <f>IF(A474="","",'Case calculations'!N162)</f>
        <v/>
      </c>
      <c r="E474" s="10" t="str">
        <f>IF(A474="","",Assumptions!$B$28)</f>
        <v/>
      </c>
      <c r="F474" s="10" t="str">
        <f t="shared" si="7"/>
        <v/>
      </c>
      <c r="G474" s="7" t="str">
        <f>IF(A474="","",IF(D474=0,"",'Case calculations'!V162))</f>
        <v/>
      </c>
      <c r="H474" s="1" t="str">
        <f>IF(A474="","",IF(D474=0,"NO PATH",IF(G474&lt;Assumptions!$B$5,"BEFORE AS-OF",IF(G474&gt;=Assumptions!$B$7,"BEYOND HORIZON","IN HORIZON"))))</f>
        <v/>
      </c>
    </row>
    <row r="475" spans="1:8" ht="22" customHeight="1">
      <c r="A475" s="1" t="str">
        <f>IF('Case calculations'!C162&lt;&gt;"OK","",'Case calculations'!A162)</f>
        <v/>
      </c>
      <c r="B475" s="1" t="str">
        <f>IF(A475="","",'Case calculations'!B162)</f>
        <v/>
      </c>
      <c r="C475" s="1" t="str">
        <f>IF(A475="","","RECON")</f>
        <v/>
      </c>
      <c r="D475" s="19" t="str">
        <f>IF(A475="","",'Case calculations'!O162)</f>
        <v/>
      </c>
      <c r="E475" s="10" t="str">
        <f>IF(A475="","",Assumptions!$B$29)</f>
        <v/>
      </c>
      <c r="F475" s="10" t="str">
        <f t="shared" si="7"/>
        <v/>
      </c>
      <c r="G475" s="7" t="str">
        <f>IF(A475="","",IF(D475=0,"",'Case calculations'!W162))</f>
        <v/>
      </c>
      <c r="H475" s="1" t="str">
        <f>IF(A475="","",IF(D475=0,"NO PATH",IF(G475&lt;Assumptions!$B$5,"BEFORE AS-OF",IF(G475&gt;=Assumptions!$B$7,"BEYOND HORIZON","IN HORIZON"))))</f>
        <v/>
      </c>
    </row>
    <row r="476" spans="1:8" ht="22" customHeight="1">
      <c r="A476" s="1" t="str">
        <f>IF('Case calculations'!C162&lt;&gt;"OK","",'Case calculations'!A162)</f>
        <v/>
      </c>
      <c r="B476" s="1" t="str">
        <f>IF(A476="","",'Case calculations'!B162)</f>
        <v/>
      </c>
      <c r="C476" s="1" t="str">
        <f>IF(A476="","","HEARING")</f>
        <v/>
      </c>
      <c r="D476" s="19" t="str">
        <f>IF(A476="","",'Case calculations'!S162)</f>
        <v/>
      </c>
      <c r="E476" s="10" t="str">
        <f>IF(A476="","",Assumptions!$B$30)</f>
        <v/>
      </c>
      <c r="F476" s="10" t="str">
        <f t="shared" si="7"/>
        <v/>
      </c>
      <c r="G476" s="7" t="str">
        <f>IF(A476="","",IF(D476=0,"",'Case calculations'!X162))</f>
        <v/>
      </c>
      <c r="H476" s="1" t="str">
        <f>IF(A476="","",IF(D476=0,"NO PATH",IF(G476&lt;Assumptions!$B$5,"BEFORE AS-OF",IF(G476&gt;=Assumptions!$B$7,"BEYOND HORIZON","IN HORIZON"))))</f>
        <v/>
      </c>
    </row>
    <row r="477" spans="1:8" ht="22" customHeight="1">
      <c r="A477" s="1" t="str">
        <f>IF('Case calculations'!C163&lt;&gt;"OK","",'Case calculations'!A163)</f>
        <v/>
      </c>
      <c r="B477" s="1" t="str">
        <f>IF(A477="","",'Case calculations'!B163)</f>
        <v/>
      </c>
      <c r="C477" s="1" t="str">
        <f>IF(A477="","","INITIAL")</f>
        <v/>
      </c>
      <c r="D477" s="19" t="str">
        <f>IF(A477="","",'Case calculations'!N163)</f>
        <v/>
      </c>
      <c r="E477" s="10" t="str">
        <f>IF(A477="","",Assumptions!$B$28)</f>
        <v/>
      </c>
      <c r="F477" s="10" t="str">
        <f t="shared" si="7"/>
        <v/>
      </c>
      <c r="G477" s="7" t="str">
        <f>IF(A477="","",IF(D477=0,"",'Case calculations'!V163))</f>
        <v/>
      </c>
      <c r="H477" s="1" t="str">
        <f>IF(A477="","",IF(D477=0,"NO PATH",IF(G477&lt;Assumptions!$B$5,"BEFORE AS-OF",IF(G477&gt;=Assumptions!$B$7,"BEYOND HORIZON","IN HORIZON"))))</f>
        <v/>
      </c>
    </row>
    <row r="478" spans="1:8" ht="22" customHeight="1">
      <c r="A478" s="1" t="str">
        <f>IF('Case calculations'!C163&lt;&gt;"OK","",'Case calculations'!A163)</f>
        <v/>
      </c>
      <c r="B478" s="1" t="str">
        <f>IF(A478="","",'Case calculations'!B163)</f>
        <v/>
      </c>
      <c r="C478" s="1" t="str">
        <f>IF(A478="","","RECON")</f>
        <v/>
      </c>
      <c r="D478" s="19" t="str">
        <f>IF(A478="","",'Case calculations'!O163)</f>
        <v/>
      </c>
      <c r="E478" s="10" t="str">
        <f>IF(A478="","",Assumptions!$B$29)</f>
        <v/>
      </c>
      <c r="F478" s="10" t="str">
        <f t="shared" si="7"/>
        <v/>
      </c>
      <c r="G478" s="7" t="str">
        <f>IF(A478="","",IF(D478=0,"",'Case calculations'!W163))</f>
        <v/>
      </c>
      <c r="H478" s="1" t="str">
        <f>IF(A478="","",IF(D478=0,"NO PATH",IF(G478&lt;Assumptions!$B$5,"BEFORE AS-OF",IF(G478&gt;=Assumptions!$B$7,"BEYOND HORIZON","IN HORIZON"))))</f>
        <v/>
      </c>
    </row>
    <row r="479" spans="1:8" ht="22" customHeight="1">
      <c r="A479" s="1" t="str">
        <f>IF('Case calculations'!C163&lt;&gt;"OK","",'Case calculations'!A163)</f>
        <v/>
      </c>
      <c r="B479" s="1" t="str">
        <f>IF(A479="","",'Case calculations'!B163)</f>
        <v/>
      </c>
      <c r="C479" s="1" t="str">
        <f>IF(A479="","","HEARING")</f>
        <v/>
      </c>
      <c r="D479" s="19" t="str">
        <f>IF(A479="","",'Case calculations'!S163)</f>
        <v/>
      </c>
      <c r="E479" s="10" t="str">
        <f>IF(A479="","",Assumptions!$B$30)</f>
        <v/>
      </c>
      <c r="F479" s="10" t="str">
        <f t="shared" si="7"/>
        <v/>
      </c>
      <c r="G479" s="7" t="str">
        <f>IF(A479="","",IF(D479=0,"",'Case calculations'!X163))</f>
        <v/>
      </c>
      <c r="H479" s="1" t="str">
        <f>IF(A479="","",IF(D479=0,"NO PATH",IF(G479&lt;Assumptions!$B$5,"BEFORE AS-OF",IF(G479&gt;=Assumptions!$B$7,"BEYOND HORIZON","IN HORIZON"))))</f>
        <v/>
      </c>
    </row>
    <row r="480" spans="1:8" ht="22" customHeight="1">
      <c r="A480" s="1" t="str">
        <f>IF('Case calculations'!C164&lt;&gt;"OK","",'Case calculations'!A164)</f>
        <v/>
      </c>
      <c r="B480" s="1" t="str">
        <f>IF(A480="","",'Case calculations'!B164)</f>
        <v/>
      </c>
      <c r="C480" s="1" t="str">
        <f>IF(A480="","","INITIAL")</f>
        <v/>
      </c>
      <c r="D480" s="19" t="str">
        <f>IF(A480="","",'Case calculations'!N164)</f>
        <v/>
      </c>
      <c r="E480" s="10" t="str">
        <f>IF(A480="","",Assumptions!$B$28)</f>
        <v/>
      </c>
      <c r="F480" s="10" t="str">
        <f t="shared" si="7"/>
        <v/>
      </c>
      <c r="G480" s="7" t="str">
        <f>IF(A480="","",IF(D480=0,"",'Case calculations'!V164))</f>
        <v/>
      </c>
      <c r="H480" s="1" t="str">
        <f>IF(A480="","",IF(D480=0,"NO PATH",IF(G480&lt;Assumptions!$B$5,"BEFORE AS-OF",IF(G480&gt;=Assumptions!$B$7,"BEYOND HORIZON","IN HORIZON"))))</f>
        <v/>
      </c>
    </row>
    <row r="481" spans="1:8" ht="22" customHeight="1">
      <c r="A481" s="1" t="str">
        <f>IF('Case calculations'!C164&lt;&gt;"OK","",'Case calculations'!A164)</f>
        <v/>
      </c>
      <c r="B481" s="1" t="str">
        <f>IF(A481="","",'Case calculations'!B164)</f>
        <v/>
      </c>
      <c r="C481" s="1" t="str">
        <f>IF(A481="","","RECON")</f>
        <v/>
      </c>
      <c r="D481" s="19" t="str">
        <f>IF(A481="","",'Case calculations'!O164)</f>
        <v/>
      </c>
      <c r="E481" s="10" t="str">
        <f>IF(A481="","",Assumptions!$B$29)</f>
        <v/>
      </c>
      <c r="F481" s="10" t="str">
        <f t="shared" si="7"/>
        <v/>
      </c>
      <c r="G481" s="7" t="str">
        <f>IF(A481="","",IF(D481=0,"",'Case calculations'!W164))</f>
        <v/>
      </c>
      <c r="H481" s="1" t="str">
        <f>IF(A481="","",IF(D481=0,"NO PATH",IF(G481&lt;Assumptions!$B$5,"BEFORE AS-OF",IF(G481&gt;=Assumptions!$B$7,"BEYOND HORIZON","IN HORIZON"))))</f>
        <v/>
      </c>
    </row>
    <row r="482" spans="1:8" ht="22" customHeight="1">
      <c r="A482" s="1" t="str">
        <f>IF('Case calculations'!C164&lt;&gt;"OK","",'Case calculations'!A164)</f>
        <v/>
      </c>
      <c r="B482" s="1" t="str">
        <f>IF(A482="","",'Case calculations'!B164)</f>
        <v/>
      </c>
      <c r="C482" s="1" t="str">
        <f>IF(A482="","","HEARING")</f>
        <v/>
      </c>
      <c r="D482" s="19" t="str">
        <f>IF(A482="","",'Case calculations'!S164)</f>
        <v/>
      </c>
      <c r="E482" s="10" t="str">
        <f>IF(A482="","",Assumptions!$B$30)</f>
        <v/>
      </c>
      <c r="F482" s="10" t="str">
        <f t="shared" si="7"/>
        <v/>
      </c>
      <c r="G482" s="7" t="str">
        <f>IF(A482="","",IF(D482=0,"",'Case calculations'!X164))</f>
        <v/>
      </c>
      <c r="H482" s="1" t="str">
        <f>IF(A482="","",IF(D482=0,"NO PATH",IF(G482&lt;Assumptions!$B$5,"BEFORE AS-OF",IF(G482&gt;=Assumptions!$B$7,"BEYOND HORIZON","IN HORIZON"))))</f>
        <v/>
      </c>
    </row>
    <row r="483" spans="1:8" ht="22" customHeight="1">
      <c r="A483" s="1" t="str">
        <f>IF('Case calculations'!C165&lt;&gt;"OK","",'Case calculations'!A165)</f>
        <v/>
      </c>
      <c r="B483" s="1" t="str">
        <f>IF(A483="","",'Case calculations'!B165)</f>
        <v/>
      </c>
      <c r="C483" s="1" t="str">
        <f>IF(A483="","","INITIAL")</f>
        <v/>
      </c>
      <c r="D483" s="19" t="str">
        <f>IF(A483="","",'Case calculations'!N165)</f>
        <v/>
      </c>
      <c r="E483" s="10" t="str">
        <f>IF(A483="","",Assumptions!$B$28)</f>
        <v/>
      </c>
      <c r="F483" s="10" t="str">
        <f t="shared" si="7"/>
        <v/>
      </c>
      <c r="G483" s="7" t="str">
        <f>IF(A483="","",IF(D483=0,"",'Case calculations'!V165))</f>
        <v/>
      </c>
      <c r="H483" s="1" t="str">
        <f>IF(A483="","",IF(D483=0,"NO PATH",IF(G483&lt;Assumptions!$B$5,"BEFORE AS-OF",IF(G483&gt;=Assumptions!$B$7,"BEYOND HORIZON","IN HORIZON"))))</f>
        <v/>
      </c>
    </row>
    <row r="484" spans="1:8" ht="22" customHeight="1">
      <c r="A484" s="1" t="str">
        <f>IF('Case calculations'!C165&lt;&gt;"OK","",'Case calculations'!A165)</f>
        <v/>
      </c>
      <c r="B484" s="1" t="str">
        <f>IF(A484="","",'Case calculations'!B165)</f>
        <v/>
      </c>
      <c r="C484" s="1" t="str">
        <f>IF(A484="","","RECON")</f>
        <v/>
      </c>
      <c r="D484" s="19" t="str">
        <f>IF(A484="","",'Case calculations'!O165)</f>
        <v/>
      </c>
      <c r="E484" s="10" t="str">
        <f>IF(A484="","",Assumptions!$B$29)</f>
        <v/>
      </c>
      <c r="F484" s="10" t="str">
        <f t="shared" si="7"/>
        <v/>
      </c>
      <c r="G484" s="7" t="str">
        <f>IF(A484="","",IF(D484=0,"",'Case calculations'!W165))</f>
        <v/>
      </c>
      <c r="H484" s="1" t="str">
        <f>IF(A484="","",IF(D484=0,"NO PATH",IF(G484&lt;Assumptions!$B$5,"BEFORE AS-OF",IF(G484&gt;=Assumptions!$B$7,"BEYOND HORIZON","IN HORIZON"))))</f>
        <v/>
      </c>
    </row>
    <row r="485" spans="1:8" ht="22" customHeight="1">
      <c r="A485" s="1" t="str">
        <f>IF('Case calculations'!C165&lt;&gt;"OK","",'Case calculations'!A165)</f>
        <v/>
      </c>
      <c r="B485" s="1" t="str">
        <f>IF(A485="","",'Case calculations'!B165)</f>
        <v/>
      </c>
      <c r="C485" s="1" t="str">
        <f>IF(A485="","","HEARING")</f>
        <v/>
      </c>
      <c r="D485" s="19" t="str">
        <f>IF(A485="","",'Case calculations'!S165)</f>
        <v/>
      </c>
      <c r="E485" s="10" t="str">
        <f>IF(A485="","",Assumptions!$B$30)</f>
        <v/>
      </c>
      <c r="F485" s="10" t="str">
        <f t="shared" si="7"/>
        <v/>
      </c>
      <c r="G485" s="7" t="str">
        <f>IF(A485="","",IF(D485=0,"",'Case calculations'!X165))</f>
        <v/>
      </c>
      <c r="H485" s="1" t="str">
        <f>IF(A485="","",IF(D485=0,"NO PATH",IF(G485&lt;Assumptions!$B$5,"BEFORE AS-OF",IF(G485&gt;=Assumptions!$B$7,"BEYOND HORIZON","IN HORIZON"))))</f>
        <v/>
      </c>
    </row>
    <row r="486" spans="1:8" ht="22" customHeight="1">
      <c r="A486" s="1" t="str">
        <f>IF('Case calculations'!C166&lt;&gt;"OK","",'Case calculations'!A166)</f>
        <v/>
      </c>
      <c r="B486" s="1" t="str">
        <f>IF(A486="","",'Case calculations'!B166)</f>
        <v/>
      </c>
      <c r="C486" s="1" t="str">
        <f>IF(A486="","","INITIAL")</f>
        <v/>
      </c>
      <c r="D486" s="19" t="str">
        <f>IF(A486="","",'Case calculations'!N166)</f>
        <v/>
      </c>
      <c r="E486" s="10" t="str">
        <f>IF(A486="","",Assumptions!$B$28)</f>
        <v/>
      </c>
      <c r="F486" s="10" t="str">
        <f t="shared" si="7"/>
        <v/>
      </c>
      <c r="G486" s="7" t="str">
        <f>IF(A486="","",IF(D486=0,"",'Case calculations'!V166))</f>
        <v/>
      </c>
      <c r="H486" s="1" t="str">
        <f>IF(A486="","",IF(D486=0,"NO PATH",IF(G486&lt;Assumptions!$B$5,"BEFORE AS-OF",IF(G486&gt;=Assumptions!$B$7,"BEYOND HORIZON","IN HORIZON"))))</f>
        <v/>
      </c>
    </row>
    <row r="487" spans="1:8" ht="22" customHeight="1">
      <c r="A487" s="1" t="str">
        <f>IF('Case calculations'!C166&lt;&gt;"OK","",'Case calculations'!A166)</f>
        <v/>
      </c>
      <c r="B487" s="1" t="str">
        <f>IF(A487="","",'Case calculations'!B166)</f>
        <v/>
      </c>
      <c r="C487" s="1" t="str">
        <f>IF(A487="","","RECON")</f>
        <v/>
      </c>
      <c r="D487" s="19" t="str">
        <f>IF(A487="","",'Case calculations'!O166)</f>
        <v/>
      </c>
      <c r="E487" s="10" t="str">
        <f>IF(A487="","",Assumptions!$B$29)</f>
        <v/>
      </c>
      <c r="F487" s="10" t="str">
        <f t="shared" si="7"/>
        <v/>
      </c>
      <c r="G487" s="7" t="str">
        <f>IF(A487="","",IF(D487=0,"",'Case calculations'!W166))</f>
        <v/>
      </c>
      <c r="H487" s="1" t="str">
        <f>IF(A487="","",IF(D487=0,"NO PATH",IF(G487&lt;Assumptions!$B$5,"BEFORE AS-OF",IF(G487&gt;=Assumptions!$B$7,"BEYOND HORIZON","IN HORIZON"))))</f>
        <v/>
      </c>
    </row>
    <row r="488" spans="1:8" ht="22" customHeight="1">
      <c r="A488" s="1" t="str">
        <f>IF('Case calculations'!C166&lt;&gt;"OK","",'Case calculations'!A166)</f>
        <v/>
      </c>
      <c r="B488" s="1" t="str">
        <f>IF(A488="","",'Case calculations'!B166)</f>
        <v/>
      </c>
      <c r="C488" s="1" t="str">
        <f>IF(A488="","","HEARING")</f>
        <v/>
      </c>
      <c r="D488" s="19" t="str">
        <f>IF(A488="","",'Case calculations'!S166)</f>
        <v/>
      </c>
      <c r="E488" s="10" t="str">
        <f>IF(A488="","",Assumptions!$B$30)</f>
        <v/>
      </c>
      <c r="F488" s="10" t="str">
        <f t="shared" si="7"/>
        <v/>
      </c>
      <c r="G488" s="7" t="str">
        <f>IF(A488="","",IF(D488=0,"",'Case calculations'!X166))</f>
        <v/>
      </c>
      <c r="H488" s="1" t="str">
        <f>IF(A488="","",IF(D488=0,"NO PATH",IF(G488&lt;Assumptions!$B$5,"BEFORE AS-OF",IF(G488&gt;=Assumptions!$B$7,"BEYOND HORIZON","IN HORIZON"))))</f>
        <v/>
      </c>
    </row>
    <row r="489" spans="1:8" ht="22" customHeight="1">
      <c r="A489" s="1" t="str">
        <f>IF('Case calculations'!C167&lt;&gt;"OK","",'Case calculations'!A167)</f>
        <v/>
      </c>
      <c r="B489" s="1" t="str">
        <f>IF(A489="","",'Case calculations'!B167)</f>
        <v/>
      </c>
      <c r="C489" s="1" t="str">
        <f>IF(A489="","","INITIAL")</f>
        <v/>
      </c>
      <c r="D489" s="19" t="str">
        <f>IF(A489="","",'Case calculations'!N167)</f>
        <v/>
      </c>
      <c r="E489" s="10" t="str">
        <f>IF(A489="","",Assumptions!$B$28)</f>
        <v/>
      </c>
      <c r="F489" s="10" t="str">
        <f t="shared" si="7"/>
        <v/>
      </c>
      <c r="G489" s="7" t="str">
        <f>IF(A489="","",IF(D489=0,"",'Case calculations'!V167))</f>
        <v/>
      </c>
      <c r="H489" s="1" t="str">
        <f>IF(A489="","",IF(D489=0,"NO PATH",IF(G489&lt;Assumptions!$B$5,"BEFORE AS-OF",IF(G489&gt;=Assumptions!$B$7,"BEYOND HORIZON","IN HORIZON"))))</f>
        <v/>
      </c>
    </row>
    <row r="490" spans="1:8" ht="22" customHeight="1">
      <c r="A490" s="1" t="str">
        <f>IF('Case calculations'!C167&lt;&gt;"OK","",'Case calculations'!A167)</f>
        <v/>
      </c>
      <c r="B490" s="1" t="str">
        <f>IF(A490="","",'Case calculations'!B167)</f>
        <v/>
      </c>
      <c r="C490" s="1" t="str">
        <f>IF(A490="","","RECON")</f>
        <v/>
      </c>
      <c r="D490" s="19" t="str">
        <f>IF(A490="","",'Case calculations'!O167)</f>
        <v/>
      </c>
      <c r="E490" s="10" t="str">
        <f>IF(A490="","",Assumptions!$B$29)</f>
        <v/>
      </c>
      <c r="F490" s="10" t="str">
        <f t="shared" si="7"/>
        <v/>
      </c>
      <c r="G490" s="7" t="str">
        <f>IF(A490="","",IF(D490=0,"",'Case calculations'!W167))</f>
        <v/>
      </c>
      <c r="H490" s="1" t="str">
        <f>IF(A490="","",IF(D490=0,"NO PATH",IF(G490&lt;Assumptions!$B$5,"BEFORE AS-OF",IF(G490&gt;=Assumptions!$B$7,"BEYOND HORIZON","IN HORIZON"))))</f>
        <v/>
      </c>
    </row>
    <row r="491" spans="1:8" ht="22" customHeight="1">
      <c r="A491" s="1" t="str">
        <f>IF('Case calculations'!C167&lt;&gt;"OK","",'Case calculations'!A167)</f>
        <v/>
      </c>
      <c r="B491" s="1" t="str">
        <f>IF(A491="","",'Case calculations'!B167)</f>
        <v/>
      </c>
      <c r="C491" s="1" t="str">
        <f>IF(A491="","","HEARING")</f>
        <v/>
      </c>
      <c r="D491" s="19" t="str">
        <f>IF(A491="","",'Case calculations'!S167)</f>
        <v/>
      </c>
      <c r="E491" s="10" t="str">
        <f>IF(A491="","",Assumptions!$B$30)</f>
        <v/>
      </c>
      <c r="F491" s="10" t="str">
        <f t="shared" si="7"/>
        <v/>
      </c>
      <c r="G491" s="7" t="str">
        <f>IF(A491="","",IF(D491=0,"",'Case calculations'!X167))</f>
        <v/>
      </c>
      <c r="H491" s="1" t="str">
        <f>IF(A491="","",IF(D491=0,"NO PATH",IF(G491&lt;Assumptions!$B$5,"BEFORE AS-OF",IF(G491&gt;=Assumptions!$B$7,"BEYOND HORIZON","IN HORIZON"))))</f>
        <v/>
      </c>
    </row>
    <row r="492" spans="1:8" ht="22" customHeight="1">
      <c r="A492" s="1" t="str">
        <f>IF('Case calculations'!C168&lt;&gt;"OK","",'Case calculations'!A168)</f>
        <v/>
      </c>
      <c r="B492" s="1" t="str">
        <f>IF(A492="","",'Case calculations'!B168)</f>
        <v/>
      </c>
      <c r="C492" s="1" t="str">
        <f>IF(A492="","","INITIAL")</f>
        <v/>
      </c>
      <c r="D492" s="19" t="str">
        <f>IF(A492="","",'Case calculations'!N168)</f>
        <v/>
      </c>
      <c r="E492" s="10" t="str">
        <f>IF(A492="","",Assumptions!$B$28)</f>
        <v/>
      </c>
      <c r="F492" s="10" t="str">
        <f t="shared" si="7"/>
        <v/>
      </c>
      <c r="G492" s="7" t="str">
        <f>IF(A492="","",IF(D492=0,"",'Case calculations'!V168))</f>
        <v/>
      </c>
      <c r="H492" s="1" t="str">
        <f>IF(A492="","",IF(D492=0,"NO PATH",IF(G492&lt;Assumptions!$B$5,"BEFORE AS-OF",IF(G492&gt;=Assumptions!$B$7,"BEYOND HORIZON","IN HORIZON"))))</f>
        <v/>
      </c>
    </row>
    <row r="493" spans="1:8" ht="22" customHeight="1">
      <c r="A493" s="1" t="str">
        <f>IF('Case calculations'!C168&lt;&gt;"OK","",'Case calculations'!A168)</f>
        <v/>
      </c>
      <c r="B493" s="1" t="str">
        <f>IF(A493="","",'Case calculations'!B168)</f>
        <v/>
      </c>
      <c r="C493" s="1" t="str">
        <f>IF(A493="","","RECON")</f>
        <v/>
      </c>
      <c r="D493" s="19" t="str">
        <f>IF(A493="","",'Case calculations'!O168)</f>
        <v/>
      </c>
      <c r="E493" s="10" t="str">
        <f>IF(A493="","",Assumptions!$B$29)</f>
        <v/>
      </c>
      <c r="F493" s="10" t="str">
        <f t="shared" si="7"/>
        <v/>
      </c>
      <c r="G493" s="7" t="str">
        <f>IF(A493="","",IF(D493=0,"",'Case calculations'!W168))</f>
        <v/>
      </c>
      <c r="H493" s="1" t="str">
        <f>IF(A493="","",IF(D493=0,"NO PATH",IF(G493&lt;Assumptions!$B$5,"BEFORE AS-OF",IF(G493&gt;=Assumptions!$B$7,"BEYOND HORIZON","IN HORIZON"))))</f>
        <v/>
      </c>
    </row>
    <row r="494" spans="1:8" ht="22" customHeight="1">
      <c r="A494" s="1" t="str">
        <f>IF('Case calculations'!C168&lt;&gt;"OK","",'Case calculations'!A168)</f>
        <v/>
      </c>
      <c r="B494" s="1" t="str">
        <f>IF(A494="","",'Case calculations'!B168)</f>
        <v/>
      </c>
      <c r="C494" s="1" t="str">
        <f>IF(A494="","","HEARING")</f>
        <v/>
      </c>
      <c r="D494" s="19" t="str">
        <f>IF(A494="","",'Case calculations'!S168)</f>
        <v/>
      </c>
      <c r="E494" s="10" t="str">
        <f>IF(A494="","",Assumptions!$B$30)</f>
        <v/>
      </c>
      <c r="F494" s="10" t="str">
        <f t="shared" si="7"/>
        <v/>
      </c>
      <c r="G494" s="7" t="str">
        <f>IF(A494="","",IF(D494=0,"",'Case calculations'!X168))</f>
        <v/>
      </c>
      <c r="H494" s="1" t="str">
        <f>IF(A494="","",IF(D494=0,"NO PATH",IF(G494&lt;Assumptions!$B$5,"BEFORE AS-OF",IF(G494&gt;=Assumptions!$B$7,"BEYOND HORIZON","IN HORIZON"))))</f>
        <v/>
      </c>
    </row>
    <row r="495" spans="1:8" ht="22" customHeight="1">
      <c r="A495" s="1" t="str">
        <f>IF('Case calculations'!C169&lt;&gt;"OK","",'Case calculations'!A169)</f>
        <v/>
      </c>
      <c r="B495" s="1" t="str">
        <f>IF(A495="","",'Case calculations'!B169)</f>
        <v/>
      </c>
      <c r="C495" s="1" t="str">
        <f>IF(A495="","","INITIAL")</f>
        <v/>
      </c>
      <c r="D495" s="19" t="str">
        <f>IF(A495="","",'Case calculations'!N169)</f>
        <v/>
      </c>
      <c r="E495" s="10" t="str">
        <f>IF(A495="","",Assumptions!$B$28)</f>
        <v/>
      </c>
      <c r="F495" s="10" t="str">
        <f t="shared" si="7"/>
        <v/>
      </c>
      <c r="G495" s="7" t="str">
        <f>IF(A495="","",IF(D495=0,"",'Case calculations'!V169))</f>
        <v/>
      </c>
      <c r="H495" s="1" t="str">
        <f>IF(A495="","",IF(D495=0,"NO PATH",IF(G495&lt;Assumptions!$B$5,"BEFORE AS-OF",IF(G495&gt;=Assumptions!$B$7,"BEYOND HORIZON","IN HORIZON"))))</f>
        <v/>
      </c>
    </row>
    <row r="496" spans="1:8" ht="22" customHeight="1">
      <c r="A496" s="1" t="str">
        <f>IF('Case calculations'!C169&lt;&gt;"OK","",'Case calculations'!A169)</f>
        <v/>
      </c>
      <c r="B496" s="1" t="str">
        <f>IF(A496="","",'Case calculations'!B169)</f>
        <v/>
      </c>
      <c r="C496" s="1" t="str">
        <f>IF(A496="","","RECON")</f>
        <v/>
      </c>
      <c r="D496" s="19" t="str">
        <f>IF(A496="","",'Case calculations'!O169)</f>
        <v/>
      </c>
      <c r="E496" s="10" t="str">
        <f>IF(A496="","",Assumptions!$B$29)</f>
        <v/>
      </c>
      <c r="F496" s="10" t="str">
        <f t="shared" si="7"/>
        <v/>
      </c>
      <c r="G496" s="7" t="str">
        <f>IF(A496="","",IF(D496=0,"",'Case calculations'!W169))</f>
        <v/>
      </c>
      <c r="H496" s="1" t="str">
        <f>IF(A496="","",IF(D496=0,"NO PATH",IF(G496&lt;Assumptions!$B$5,"BEFORE AS-OF",IF(G496&gt;=Assumptions!$B$7,"BEYOND HORIZON","IN HORIZON"))))</f>
        <v/>
      </c>
    </row>
    <row r="497" spans="1:8" ht="22" customHeight="1">
      <c r="A497" s="1" t="str">
        <f>IF('Case calculations'!C169&lt;&gt;"OK","",'Case calculations'!A169)</f>
        <v/>
      </c>
      <c r="B497" s="1" t="str">
        <f>IF(A497="","",'Case calculations'!B169)</f>
        <v/>
      </c>
      <c r="C497" s="1" t="str">
        <f>IF(A497="","","HEARING")</f>
        <v/>
      </c>
      <c r="D497" s="19" t="str">
        <f>IF(A497="","",'Case calculations'!S169)</f>
        <v/>
      </c>
      <c r="E497" s="10" t="str">
        <f>IF(A497="","",Assumptions!$B$30)</f>
        <v/>
      </c>
      <c r="F497" s="10" t="str">
        <f t="shared" si="7"/>
        <v/>
      </c>
      <c r="G497" s="7" t="str">
        <f>IF(A497="","",IF(D497=0,"",'Case calculations'!X169))</f>
        <v/>
      </c>
      <c r="H497" s="1" t="str">
        <f>IF(A497="","",IF(D497=0,"NO PATH",IF(G497&lt;Assumptions!$B$5,"BEFORE AS-OF",IF(G497&gt;=Assumptions!$B$7,"BEYOND HORIZON","IN HORIZON"))))</f>
        <v/>
      </c>
    </row>
    <row r="498" spans="1:8" ht="22" customHeight="1">
      <c r="A498" s="1" t="str">
        <f>IF('Case calculations'!C170&lt;&gt;"OK","",'Case calculations'!A170)</f>
        <v/>
      </c>
      <c r="B498" s="1" t="str">
        <f>IF(A498="","",'Case calculations'!B170)</f>
        <v/>
      </c>
      <c r="C498" s="1" t="str">
        <f>IF(A498="","","INITIAL")</f>
        <v/>
      </c>
      <c r="D498" s="19" t="str">
        <f>IF(A498="","",'Case calculations'!N170)</f>
        <v/>
      </c>
      <c r="E498" s="10" t="str">
        <f>IF(A498="","",Assumptions!$B$28)</f>
        <v/>
      </c>
      <c r="F498" s="10" t="str">
        <f t="shared" si="7"/>
        <v/>
      </c>
      <c r="G498" s="7" t="str">
        <f>IF(A498="","",IF(D498=0,"",'Case calculations'!V170))</f>
        <v/>
      </c>
      <c r="H498" s="1" t="str">
        <f>IF(A498="","",IF(D498=0,"NO PATH",IF(G498&lt;Assumptions!$B$5,"BEFORE AS-OF",IF(G498&gt;=Assumptions!$B$7,"BEYOND HORIZON","IN HORIZON"))))</f>
        <v/>
      </c>
    </row>
    <row r="499" spans="1:8" ht="22" customHeight="1">
      <c r="A499" s="1" t="str">
        <f>IF('Case calculations'!C170&lt;&gt;"OK","",'Case calculations'!A170)</f>
        <v/>
      </c>
      <c r="B499" s="1" t="str">
        <f>IF(A499="","",'Case calculations'!B170)</f>
        <v/>
      </c>
      <c r="C499" s="1" t="str">
        <f>IF(A499="","","RECON")</f>
        <v/>
      </c>
      <c r="D499" s="19" t="str">
        <f>IF(A499="","",'Case calculations'!O170)</f>
        <v/>
      </c>
      <c r="E499" s="10" t="str">
        <f>IF(A499="","",Assumptions!$B$29)</f>
        <v/>
      </c>
      <c r="F499" s="10" t="str">
        <f t="shared" si="7"/>
        <v/>
      </c>
      <c r="G499" s="7" t="str">
        <f>IF(A499="","",IF(D499=0,"",'Case calculations'!W170))</f>
        <v/>
      </c>
      <c r="H499" s="1" t="str">
        <f>IF(A499="","",IF(D499=0,"NO PATH",IF(G499&lt;Assumptions!$B$5,"BEFORE AS-OF",IF(G499&gt;=Assumptions!$B$7,"BEYOND HORIZON","IN HORIZON"))))</f>
        <v/>
      </c>
    </row>
    <row r="500" spans="1:8" ht="22" customHeight="1">
      <c r="A500" s="1" t="str">
        <f>IF('Case calculations'!C170&lt;&gt;"OK","",'Case calculations'!A170)</f>
        <v/>
      </c>
      <c r="B500" s="1" t="str">
        <f>IF(A500="","",'Case calculations'!B170)</f>
        <v/>
      </c>
      <c r="C500" s="1" t="str">
        <f>IF(A500="","","HEARING")</f>
        <v/>
      </c>
      <c r="D500" s="19" t="str">
        <f>IF(A500="","",'Case calculations'!S170)</f>
        <v/>
      </c>
      <c r="E500" s="10" t="str">
        <f>IF(A500="","",Assumptions!$B$30)</f>
        <v/>
      </c>
      <c r="F500" s="10" t="str">
        <f t="shared" si="7"/>
        <v/>
      </c>
      <c r="G500" s="7" t="str">
        <f>IF(A500="","",IF(D500=0,"",'Case calculations'!X170))</f>
        <v/>
      </c>
      <c r="H500" s="1" t="str">
        <f>IF(A500="","",IF(D500=0,"NO PATH",IF(G500&lt;Assumptions!$B$5,"BEFORE AS-OF",IF(G500&gt;=Assumptions!$B$7,"BEYOND HORIZON","IN HORIZON"))))</f>
        <v/>
      </c>
    </row>
    <row r="501" spans="1:8" ht="22" customHeight="1">
      <c r="A501" s="1" t="str">
        <f>IF('Case calculations'!C171&lt;&gt;"OK","",'Case calculations'!A171)</f>
        <v/>
      </c>
      <c r="B501" s="1" t="str">
        <f>IF(A501="","",'Case calculations'!B171)</f>
        <v/>
      </c>
      <c r="C501" s="1" t="str">
        <f>IF(A501="","","INITIAL")</f>
        <v/>
      </c>
      <c r="D501" s="19" t="str">
        <f>IF(A501="","",'Case calculations'!N171)</f>
        <v/>
      </c>
      <c r="E501" s="10" t="str">
        <f>IF(A501="","",Assumptions!$B$28)</f>
        <v/>
      </c>
      <c r="F501" s="10" t="str">
        <f t="shared" si="7"/>
        <v/>
      </c>
      <c r="G501" s="7" t="str">
        <f>IF(A501="","",IF(D501=0,"",'Case calculations'!V171))</f>
        <v/>
      </c>
      <c r="H501" s="1" t="str">
        <f>IF(A501="","",IF(D501=0,"NO PATH",IF(G501&lt;Assumptions!$B$5,"BEFORE AS-OF",IF(G501&gt;=Assumptions!$B$7,"BEYOND HORIZON","IN HORIZON"))))</f>
        <v/>
      </c>
    </row>
    <row r="502" spans="1:8" ht="22" customHeight="1">
      <c r="A502" s="1" t="str">
        <f>IF('Case calculations'!C171&lt;&gt;"OK","",'Case calculations'!A171)</f>
        <v/>
      </c>
      <c r="B502" s="1" t="str">
        <f>IF(A502="","",'Case calculations'!B171)</f>
        <v/>
      </c>
      <c r="C502" s="1" t="str">
        <f>IF(A502="","","RECON")</f>
        <v/>
      </c>
      <c r="D502" s="19" t="str">
        <f>IF(A502="","",'Case calculations'!O171)</f>
        <v/>
      </c>
      <c r="E502" s="10" t="str">
        <f>IF(A502="","",Assumptions!$B$29)</f>
        <v/>
      </c>
      <c r="F502" s="10" t="str">
        <f t="shared" si="7"/>
        <v/>
      </c>
      <c r="G502" s="7" t="str">
        <f>IF(A502="","",IF(D502=0,"",'Case calculations'!W171))</f>
        <v/>
      </c>
      <c r="H502" s="1" t="str">
        <f>IF(A502="","",IF(D502=0,"NO PATH",IF(G502&lt;Assumptions!$B$5,"BEFORE AS-OF",IF(G502&gt;=Assumptions!$B$7,"BEYOND HORIZON","IN HORIZON"))))</f>
        <v/>
      </c>
    </row>
    <row r="503" spans="1:8" ht="22" customHeight="1">
      <c r="A503" s="1" t="str">
        <f>IF('Case calculations'!C171&lt;&gt;"OK","",'Case calculations'!A171)</f>
        <v/>
      </c>
      <c r="B503" s="1" t="str">
        <f>IF(A503="","",'Case calculations'!B171)</f>
        <v/>
      </c>
      <c r="C503" s="1" t="str">
        <f>IF(A503="","","HEARING")</f>
        <v/>
      </c>
      <c r="D503" s="19" t="str">
        <f>IF(A503="","",'Case calculations'!S171)</f>
        <v/>
      </c>
      <c r="E503" s="10" t="str">
        <f>IF(A503="","",Assumptions!$B$30)</f>
        <v/>
      </c>
      <c r="F503" s="10" t="str">
        <f t="shared" si="7"/>
        <v/>
      </c>
      <c r="G503" s="7" t="str">
        <f>IF(A503="","",IF(D503=0,"",'Case calculations'!X171))</f>
        <v/>
      </c>
      <c r="H503" s="1" t="str">
        <f>IF(A503="","",IF(D503=0,"NO PATH",IF(G503&lt;Assumptions!$B$5,"BEFORE AS-OF",IF(G503&gt;=Assumptions!$B$7,"BEYOND HORIZON","IN HORIZON"))))</f>
        <v/>
      </c>
    </row>
    <row r="504" spans="1:8" ht="22" customHeight="1">
      <c r="A504" s="1" t="str">
        <f>IF('Case calculations'!C172&lt;&gt;"OK","",'Case calculations'!A172)</f>
        <v/>
      </c>
      <c r="B504" s="1" t="str">
        <f>IF(A504="","",'Case calculations'!B172)</f>
        <v/>
      </c>
      <c r="C504" s="1" t="str">
        <f>IF(A504="","","INITIAL")</f>
        <v/>
      </c>
      <c r="D504" s="19" t="str">
        <f>IF(A504="","",'Case calculations'!N172)</f>
        <v/>
      </c>
      <c r="E504" s="10" t="str">
        <f>IF(A504="","",Assumptions!$B$28)</f>
        <v/>
      </c>
      <c r="F504" s="10" t="str">
        <f t="shared" si="7"/>
        <v/>
      </c>
      <c r="G504" s="7" t="str">
        <f>IF(A504="","",IF(D504=0,"",'Case calculations'!V172))</f>
        <v/>
      </c>
      <c r="H504" s="1" t="str">
        <f>IF(A504="","",IF(D504=0,"NO PATH",IF(G504&lt;Assumptions!$B$5,"BEFORE AS-OF",IF(G504&gt;=Assumptions!$B$7,"BEYOND HORIZON","IN HORIZON"))))</f>
        <v/>
      </c>
    </row>
    <row r="505" spans="1:8" ht="22" customHeight="1">
      <c r="A505" s="1" t="str">
        <f>IF('Case calculations'!C172&lt;&gt;"OK","",'Case calculations'!A172)</f>
        <v/>
      </c>
      <c r="B505" s="1" t="str">
        <f>IF(A505="","",'Case calculations'!B172)</f>
        <v/>
      </c>
      <c r="C505" s="1" t="str">
        <f>IF(A505="","","RECON")</f>
        <v/>
      </c>
      <c r="D505" s="19" t="str">
        <f>IF(A505="","",'Case calculations'!O172)</f>
        <v/>
      </c>
      <c r="E505" s="10" t="str">
        <f>IF(A505="","",Assumptions!$B$29)</f>
        <v/>
      </c>
      <c r="F505" s="10" t="str">
        <f t="shared" si="7"/>
        <v/>
      </c>
      <c r="G505" s="7" t="str">
        <f>IF(A505="","",IF(D505=0,"",'Case calculations'!W172))</f>
        <v/>
      </c>
      <c r="H505" s="1" t="str">
        <f>IF(A505="","",IF(D505=0,"NO PATH",IF(G505&lt;Assumptions!$B$5,"BEFORE AS-OF",IF(G505&gt;=Assumptions!$B$7,"BEYOND HORIZON","IN HORIZON"))))</f>
        <v/>
      </c>
    </row>
    <row r="506" spans="1:8" ht="22" customHeight="1">
      <c r="A506" s="1" t="str">
        <f>IF('Case calculations'!C172&lt;&gt;"OK","",'Case calculations'!A172)</f>
        <v/>
      </c>
      <c r="B506" s="1" t="str">
        <f>IF(A506="","",'Case calculations'!B172)</f>
        <v/>
      </c>
      <c r="C506" s="1" t="str">
        <f>IF(A506="","","HEARING")</f>
        <v/>
      </c>
      <c r="D506" s="19" t="str">
        <f>IF(A506="","",'Case calculations'!S172)</f>
        <v/>
      </c>
      <c r="E506" s="10" t="str">
        <f>IF(A506="","",Assumptions!$B$30)</f>
        <v/>
      </c>
      <c r="F506" s="10" t="str">
        <f t="shared" si="7"/>
        <v/>
      </c>
      <c r="G506" s="7" t="str">
        <f>IF(A506="","",IF(D506=0,"",'Case calculations'!X172))</f>
        <v/>
      </c>
      <c r="H506" s="1" t="str">
        <f>IF(A506="","",IF(D506=0,"NO PATH",IF(G506&lt;Assumptions!$B$5,"BEFORE AS-OF",IF(G506&gt;=Assumptions!$B$7,"BEYOND HORIZON","IN HORIZON"))))</f>
        <v/>
      </c>
    </row>
    <row r="507" spans="1:8" ht="22" customHeight="1">
      <c r="A507" s="1" t="str">
        <f>IF('Case calculations'!C173&lt;&gt;"OK","",'Case calculations'!A173)</f>
        <v/>
      </c>
      <c r="B507" s="1" t="str">
        <f>IF(A507="","",'Case calculations'!B173)</f>
        <v/>
      </c>
      <c r="C507" s="1" t="str">
        <f>IF(A507="","","INITIAL")</f>
        <v/>
      </c>
      <c r="D507" s="19" t="str">
        <f>IF(A507="","",'Case calculations'!N173)</f>
        <v/>
      </c>
      <c r="E507" s="10" t="str">
        <f>IF(A507="","",Assumptions!$B$28)</f>
        <v/>
      </c>
      <c r="F507" s="10" t="str">
        <f t="shared" si="7"/>
        <v/>
      </c>
      <c r="G507" s="7" t="str">
        <f>IF(A507="","",IF(D507=0,"",'Case calculations'!V173))</f>
        <v/>
      </c>
      <c r="H507" s="1" t="str">
        <f>IF(A507="","",IF(D507=0,"NO PATH",IF(G507&lt;Assumptions!$B$5,"BEFORE AS-OF",IF(G507&gt;=Assumptions!$B$7,"BEYOND HORIZON","IN HORIZON"))))</f>
        <v/>
      </c>
    </row>
    <row r="508" spans="1:8" ht="22" customHeight="1">
      <c r="A508" s="1" t="str">
        <f>IF('Case calculations'!C173&lt;&gt;"OK","",'Case calculations'!A173)</f>
        <v/>
      </c>
      <c r="B508" s="1" t="str">
        <f>IF(A508="","",'Case calculations'!B173)</f>
        <v/>
      </c>
      <c r="C508" s="1" t="str">
        <f>IF(A508="","","RECON")</f>
        <v/>
      </c>
      <c r="D508" s="19" t="str">
        <f>IF(A508="","",'Case calculations'!O173)</f>
        <v/>
      </c>
      <c r="E508" s="10" t="str">
        <f>IF(A508="","",Assumptions!$B$29)</f>
        <v/>
      </c>
      <c r="F508" s="10" t="str">
        <f t="shared" si="7"/>
        <v/>
      </c>
      <c r="G508" s="7" t="str">
        <f>IF(A508="","",IF(D508=0,"",'Case calculations'!W173))</f>
        <v/>
      </c>
      <c r="H508" s="1" t="str">
        <f>IF(A508="","",IF(D508=0,"NO PATH",IF(G508&lt;Assumptions!$B$5,"BEFORE AS-OF",IF(G508&gt;=Assumptions!$B$7,"BEYOND HORIZON","IN HORIZON"))))</f>
        <v/>
      </c>
    </row>
    <row r="509" spans="1:8" ht="22" customHeight="1">
      <c r="A509" s="1" t="str">
        <f>IF('Case calculations'!C173&lt;&gt;"OK","",'Case calculations'!A173)</f>
        <v/>
      </c>
      <c r="B509" s="1" t="str">
        <f>IF(A509="","",'Case calculations'!B173)</f>
        <v/>
      </c>
      <c r="C509" s="1" t="str">
        <f>IF(A509="","","HEARING")</f>
        <v/>
      </c>
      <c r="D509" s="19" t="str">
        <f>IF(A509="","",'Case calculations'!S173)</f>
        <v/>
      </c>
      <c r="E509" s="10" t="str">
        <f>IF(A509="","",Assumptions!$B$30)</f>
        <v/>
      </c>
      <c r="F509" s="10" t="str">
        <f t="shared" si="7"/>
        <v/>
      </c>
      <c r="G509" s="7" t="str">
        <f>IF(A509="","",IF(D509=0,"",'Case calculations'!X173))</f>
        <v/>
      </c>
      <c r="H509" s="1" t="str">
        <f>IF(A509="","",IF(D509=0,"NO PATH",IF(G509&lt;Assumptions!$B$5,"BEFORE AS-OF",IF(G509&gt;=Assumptions!$B$7,"BEYOND HORIZON","IN HORIZON"))))</f>
        <v/>
      </c>
    </row>
    <row r="510" spans="1:8" ht="22" customHeight="1">
      <c r="A510" s="1" t="str">
        <f>IF('Case calculations'!C174&lt;&gt;"OK","",'Case calculations'!A174)</f>
        <v/>
      </c>
      <c r="B510" s="1" t="str">
        <f>IF(A510="","",'Case calculations'!B174)</f>
        <v/>
      </c>
      <c r="C510" s="1" t="str">
        <f>IF(A510="","","INITIAL")</f>
        <v/>
      </c>
      <c r="D510" s="19" t="str">
        <f>IF(A510="","",'Case calculations'!N174)</f>
        <v/>
      </c>
      <c r="E510" s="10" t="str">
        <f>IF(A510="","",Assumptions!$B$28)</f>
        <v/>
      </c>
      <c r="F510" s="10" t="str">
        <f t="shared" si="7"/>
        <v/>
      </c>
      <c r="G510" s="7" t="str">
        <f>IF(A510="","",IF(D510=0,"",'Case calculations'!V174))</f>
        <v/>
      </c>
      <c r="H510" s="1" t="str">
        <f>IF(A510="","",IF(D510=0,"NO PATH",IF(G510&lt;Assumptions!$B$5,"BEFORE AS-OF",IF(G510&gt;=Assumptions!$B$7,"BEYOND HORIZON","IN HORIZON"))))</f>
        <v/>
      </c>
    </row>
    <row r="511" spans="1:8" ht="22" customHeight="1">
      <c r="A511" s="1" t="str">
        <f>IF('Case calculations'!C174&lt;&gt;"OK","",'Case calculations'!A174)</f>
        <v/>
      </c>
      <c r="B511" s="1" t="str">
        <f>IF(A511="","",'Case calculations'!B174)</f>
        <v/>
      </c>
      <c r="C511" s="1" t="str">
        <f>IF(A511="","","RECON")</f>
        <v/>
      </c>
      <c r="D511" s="19" t="str">
        <f>IF(A511="","",'Case calculations'!O174)</f>
        <v/>
      </c>
      <c r="E511" s="10" t="str">
        <f>IF(A511="","",Assumptions!$B$29)</f>
        <v/>
      </c>
      <c r="F511" s="10" t="str">
        <f t="shared" si="7"/>
        <v/>
      </c>
      <c r="G511" s="7" t="str">
        <f>IF(A511="","",IF(D511=0,"",'Case calculations'!W174))</f>
        <v/>
      </c>
      <c r="H511" s="1" t="str">
        <f>IF(A511="","",IF(D511=0,"NO PATH",IF(G511&lt;Assumptions!$B$5,"BEFORE AS-OF",IF(G511&gt;=Assumptions!$B$7,"BEYOND HORIZON","IN HORIZON"))))</f>
        <v/>
      </c>
    </row>
    <row r="512" spans="1:8" ht="22" customHeight="1">
      <c r="A512" s="1" t="str">
        <f>IF('Case calculations'!C174&lt;&gt;"OK","",'Case calculations'!A174)</f>
        <v/>
      </c>
      <c r="B512" s="1" t="str">
        <f>IF(A512="","",'Case calculations'!B174)</f>
        <v/>
      </c>
      <c r="C512" s="1" t="str">
        <f>IF(A512="","","HEARING")</f>
        <v/>
      </c>
      <c r="D512" s="19" t="str">
        <f>IF(A512="","",'Case calculations'!S174)</f>
        <v/>
      </c>
      <c r="E512" s="10" t="str">
        <f>IF(A512="","",Assumptions!$B$30)</f>
        <v/>
      </c>
      <c r="F512" s="10" t="str">
        <f t="shared" si="7"/>
        <v/>
      </c>
      <c r="G512" s="7" t="str">
        <f>IF(A512="","",IF(D512=0,"",'Case calculations'!X174))</f>
        <v/>
      </c>
      <c r="H512" s="1" t="str">
        <f>IF(A512="","",IF(D512=0,"NO PATH",IF(G512&lt;Assumptions!$B$5,"BEFORE AS-OF",IF(G512&gt;=Assumptions!$B$7,"BEYOND HORIZON","IN HORIZON"))))</f>
        <v/>
      </c>
    </row>
    <row r="513" spans="1:8" ht="22" customHeight="1">
      <c r="A513" s="1" t="str">
        <f>IF('Case calculations'!C175&lt;&gt;"OK","",'Case calculations'!A175)</f>
        <v/>
      </c>
      <c r="B513" s="1" t="str">
        <f>IF(A513="","",'Case calculations'!B175)</f>
        <v/>
      </c>
      <c r="C513" s="1" t="str">
        <f>IF(A513="","","INITIAL")</f>
        <v/>
      </c>
      <c r="D513" s="19" t="str">
        <f>IF(A513="","",'Case calculations'!N175)</f>
        <v/>
      </c>
      <c r="E513" s="10" t="str">
        <f>IF(A513="","",Assumptions!$B$28)</f>
        <v/>
      </c>
      <c r="F513" s="10" t="str">
        <f t="shared" si="7"/>
        <v/>
      </c>
      <c r="G513" s="7" t="str">
        <f>IF(A513="","",IF(D513=0,"",'Case calculations'!V175))</f>
        <v/>
      </c>
      <c r="H513" s="1" t="str">
        <f>IF(A513="","",IF(D513=0,"NO PATH",IF(G513&lt;Assumptions!$B$5,"BEFORE AS-OF",IF(G513&gt;=Assumptions!$B$7,"BEYOND HORIZON","IN HORIZON"))))</f>
        <v/>
      </c>
    </row>
    <row r="514" spans="1:8" ht="22" customHeight="1">
      <c r="A514" s="1" t="str">
        <f>IF('Case calculations'!C175&lt;&gt;"OK","",'Case calculations'!A175)</f>
        <v/>
      </c>
      <c r="B514" s="1" t="str">
        <f>IF(A514="","",'Case calculations'!B175)</f>
        <v/>
      </c>
      <c r="C514" s="1" t="str">
        <f>IF(A514="","","RECON")</f>
        <v/>
      </c>
      <c r="D514" s="19" t="str">
        <f>IF(A514="","",'Case calculations'!O175)</f>
        <v/>
      </c>
      <c r="E514" s="10" t="str">
        <f>IF(A514="","",Assumptions!$B$29)</f>
        <v/>
      </c>
      <c r="F514" s="10" t="str">
        <f t="shared" si="7"/>
        <v/>
      </c>
      <c r="G514" s="7" t="str">
        <f>IF(A514="","",IF(D514=0,"",'Case calculations'!W175))</f>
        <v/>
      </c>
      <c r="H514" s="1" t="str">
        <f>IF(A514="","",IF(D514=0,"NO PATH",IF(G514&lt;Assumptions!$B$5,"BEFORE AS-OF",IF(G514&gt;=Assumptions!$B$7,"BEYOND HORIZON","IN HORIZON"))))</f>
        <v/>
      </c>
    </row>
    <row r="515" spans="1:8" ht="22" customHeight="1">
      <c r="A515" s="1" t="str">
        <f>IF('Case calculations'!C175&lt;&gt;"OK","",'Case calculations'!A175)</f>
        <v/>
      </c>
      <c r="B515" s="1" t="str">
        <f>IF(A515="","",'Case calculations'!B175)</f>
        <v/>
      </c>
      <c r="C515" s="1" t="str">
        <f>IF(A515="","","HEARING")</f>
        <v/>
      </c>
      <c r="D515" s="19" t="str">
        <f>IF(A515="","",'Case calculations'!S175)</f>
        <v/>
      </c>
      <c r="E515" s="10" t="str">
        <f>IF(A515="","",Assumptions!$B$30)</f>
        <v/>
      </c>
      <c r="F515" s="10" t="str">
        <f t="shared" si="7"/>
        <v/>
      </c>
      <c r="G515" s="7" t="str">
        <f>IF(A515="","",IF(D515=0,"",'Case calculations'!X175))</f>
        <v/>
      </c>
      <c r="H515" s="1" t="str">
        <f>IF(A515="","",IF(D515=0,"NO PATH",IF(G515&lt;Assumptions!$B$5,"BEFORE AS-OF",IF(G515&gt;=Assumptions!$B$7,"BEYOND HORIZON","IN HORIZON"))))</f>
        <v/>
      </c>
    </row>
    <row r="516" spans="1:8" ht="22" customHeight="1">
      <c r="A516" s="1" t="str">
        <f>IF('Case calculations'!C176&lt;&gt;"OK","",'Case calculations'!A176)</f>
        <v/>
      </c>
      <c r="B516" s="1" t="str">
        <f>IF(A516="","",'Case calculations'!B176)</f>
        <v/>
      </c>
      <c r="C516" s="1" t="str">
        <f>IF(A516="","","INITIAL")</f>
        <v/>
      </c>
      <c r="D516" s="19" t="str">
        <f>IF(A516="","",'Case calculations'!N176)</f>
        <v/>
      </c>
      <c r="E516" s="10" t="str">
        <f>IF(A516="","",Assumptions!$B$28)</f>
        <v/>
      </c>
      <c r="F516" s="10" t="str">
        <f t="shared" si="7"/>
        <v/>
      </c>
      <c r="G516" s="7" t="str">
        <f>IF(A516="","",IF(D516=0,"",'Case calculations'!V176))</f>
        <v/>
      </c>
      <c r="H516" s="1" t="str">
        <f>IF(A516="","",IF(D516=0,"NO PATH",IF(G516&lt;Assumptions!$B$5,"BEFORE AS-OF",IF(G516&gt;=Assumptions!$B$7,"BEYOND HORIZON","IN HORIZON"))))</f>
        <v/>
      </c>
    </row>
    <row r="517" spans="1:8" ht="22" customHeight="1">
      <c r="A517" s="1" t="str">
        <f>IF('Case calculations'!C176&lt;&gt;"OK","",'Case calculations'!A176)</f>
        <v/>
      </c>
      <c r="B517" s="1" t="str">
        <f>IF(A517="","",'Case calculations'!B176)</f>
        <v/>
      </c>
      <c r="C517" s="1" t="str">
        <f>IF(A517="","","RECON")</f>
        <v/>
      </c>
      <c r="D517" s="19" t="str">
        <f>IF(A517="","",'Case calculations'!O176)</f>
        <v/>
      </c>
      <c r="E517" s="10" t="str">
        <f>IF(A517="","",Assumptions!$B$29)</f>
        <v/>
      </c>
      <c r="F517" s="10" t="str">
        <f t="shared" si="7"/>
        <v/>
      </c>
      <c r="G517" s="7" t="str">
        <f>IF(A517="","",IF(D517=0,"",'Case calculations'!W176))</f>
        <v/>
      </c>
      <c r="H517" s="1" t="str">
        <f>IF(A517="","",IF(D517=0,"NO PATH",IF(G517&lt;Assumptions!$B$5,"BEFORE AS-OF",IF(G517&gt;=Assumptions!$B$7,"BEYOND HORIZON","IN HORIZON"))))</f>
        <v/>
      </c>
    </row>
    <row r="518" spans="1:8" ht="22" customHeight="1">
      <c r="A518" s="1" t="str">
        <f>IF('Case calculations'!C176&lt;&gt;"OK","",'Case calculations'!A176)</f>
        <v/>
      </c>
      <c r="B518" s="1" t="str">
        <f>IF(A518="","",'Case calculations'!B176)</f>
        <v/>
      </c>
      <c r="C518" s="1" t="str">
        <f>IF(A518="","","HEARING")</f>
        <v/>
      </c>
      <c r="D518" s="19" t="str">
        <f>IF(A518="","",'Case calculations'!S176)</f>
        <v/>
      </c>
      <c r="E518" s="10" t="str">
        <f>IF(A518="","",Assumptions!$B$30)</f>
        <v/>
      </c>
      <c r="F518" s="10" t="str">
        <f t="shared" ref="F518:F581" si="8">IF(A518="","",D518*E518)</f>
        <v/>
      </c>
      <c r="G518" s="7" t="str">
        <f>IF(A518="","",IF(D518=0,"",'Case calculations'!X176))</f>
        <v/>
      </c>
      <c r="H518" s="1" t="str">
        <f>IF(A518="","",IF(D518=0,"NO PATH",IF(G518&lt;Assumptions!$B$5,"BEFORE AS-OF",IF(G518&gt;=Assumptions!$B$7,"BEYOND HORIZON","IN HORIZON"))))</f>
        <v/>
      </c>
    </row>
    <row r="519" spans="1:8" ht="22" customHeight="1">
      <c r="A519" s="1" t="str">
        <f>IF('Case calculations'!C177&lt;&gt;"OK","",'Case calculations'!A177)</f>
        <v/>
      </c>
      <c r="B519" s="1" t="str">
        <f>IF(A519="","",'Case calculations'!B177)</f>
        <v/>
      </c>
      <c r="C519" s="1" t="str">
        <f>IF(A519="","","INITIAL")</f>
        <v/>
      </c>
      <c r="D519" s="19" t="str">
        <f>IF(A519="","",'Case calculations'!N177)</f>
        <v/>
      </c>
      <c r="E519" s="10" t="str">
        <f>IF(A519="","",Assumptions!$B$28)</f>
        <v/>
      </c>
      <c r="F519" s="10" t="str">
        <f t="shared" si="8"/>
        <v/>
      </c>
      <c r="G519" s="7" t="str">
        <f>IF(A519="","",IF(D519=0,"",'Case calculations'!V177))</f>
        <v/>
      </c>
      <c r="H519" s="1" t="str">
        <f>IF(A519="","",IF(D519=0,"NO PATH",IF(G519&lt;Assumptions!$B$5,"BEFORE AS-OF",IF(G519&gt;=Assumptions!$B$7,"BEYOND HORIZON","IN HORIZON"))))</f>
        <v/>
      </c>
    </row>
    <row r="520" spans="1:8" ht="22" customHeight="1">
      <c r="A520" s="1" t="str">
        <f>IF('Case calculations'!C177&lt;&gt;"OK","",'Case calculations'!A177)</f>
        <v/>
      </c>
      <c r="B520" s="1" t="str">
        <f>IF(A520="","",'Case calculations'!B177)</f>
        <v/>
      </c>
      <c r="C520" s="1" t="str">
        <f>IF(A520="","","RECON")</f>
        <v/>
      </c>
      <c r="D520" s="19" t="str">
        <f>IF(A520="","",'Case calculations'!O177)</f>
        <v/>
      </c>
      <c r="E520" s="10" t="str">
        <f>IF(A520="","",Assumptions!$B$29)</f>
        <v/>
      </c>
      <c r="F520" s="10" t="str">
        <f t="shared" si="8"/>
        <v/>
      </c>
      <c r="G520" s="7" t="str">
        <f>IF(A520="","",IF(D520=0,"",'Case calculations'!W177))</f>
        <v/>
      </c>
      <c r="H520" s="1" t="str">
        <f>IF(A520="","",IF(D520=0,"NO PATH",IF(G520&lt;Assumptions!$B$5,"BEFORE AS-OF",IF(G520&gt;=Assumptions!$B$7,"BEYOND HORIZON","IN HORIZON"))))</f>
        <v/>
      </c>
    </row>
    <row r="521" spans="1:8" ht="22" customHeight="1">
      <c r="A521" s="1" t="str">
        <f>IF('Case calculations'!C177&lt;&gt;"OK","",'Case calculations'!A177)</f>
        <v/>
      </c>
      <c r="B521" s="1" t="str">
        <f>IF(A521="","",'Case calculations'!B177)</f>
        <v/>
      </c>
      <c r="C521" s="1" t="str">
        <f>IF(A521="","","HEARING")</f>
        <v/>
      </c>
      <c r="D521" s="19" t="str">
        <f>IF(A521="","",'Case calculations'!S177)</f>
        <v/>
      </c>
      <c r="E521" s="10" t="str">
        <f>IF(A521="","",Assumptions!$B$30)</f>
        <v/>
      </c>
      <c r="F521" s="10" t="str">
        <f t="shared" si="8"/>
        <v/>
      </c>
      <c r="G521" s="7" t="str">
        <f>IF(A521="","",IF(D521=0,"",'Case calculations'!X177))</f>
        <v/>
      </c>
      <c r="H521" s="1" t="str">
        <f>IF(A521="","",IF(D521=0,"NO PATH",IF(G521&lt;Assumptions!$B$5,"BEFORE AS-OF",IF(G521&gt;=Assumptions!$B$7,"BEYOND HORIZON","IN HORIZON"))))</f>
        <v/>
      </c>
    </row>
    <row r="522" spans="1:8" ht="22" customHeight="1">
      <c r="A522" s="1" t="str">
        <f>IF('Case calculations'!C178&lt;&gt;"OK","",'Case calculations'!A178)</f>
        <v/>
      </c>
      <c r="B522" s="1" t="str">
        <f>IF(A522="","",'Case calculations'!B178)</f>
        <v/>
      </c>
      <c r="C522" s="1" t="str">
        <f>IF(A522="","","INITIAL")</f>
        <v/>
      </c>
      <c r="D522" s="19" t="str">
        <f>IF(A522="","",'Case calculations'!N178)</f>
        <v/>
      </c>
      <c r="E522" s="10" t="str">
        <f>IF(A522="","",Assumptions!$B$28)</f>
        <v/>
      </c>
      <c r="F522" s="10" t="str">
        <f t="shared" si="8"/>
        <v/>
      </c>
      <c r="G522" s="7" t="str">
        <f>IF(A522="","",IF(D522=0,"",'Case calculations'!V178))</f>
        <v/>
      </c>
      <c r="H522" s="1" t="str">
        <f>IF(A522="","",IF(D522=0,"NO PATH",IF(G522&lt;Assumptions!$B$5,"BEFORE AS-OF",IF(G522&gt;=Assumptions!$B$7,"BEYOND HORIZON","IN HORIZON"))))</f>
        <v/>
      </c>
    </row>
    <row r="523" spans="1:8" ht="22" customHeight="1">
      <c r="A523" s="1" t="str">
        <f>IF('Case calculations'!C178&lt;&gt;"OK","",'Case calculations'!A178)</f>
        <v/>
      </c>
      <c r="B523" s="1" t="str">
        <f>IF(A523="","",'Case calculations'!B178)</f>
        <v/>
      </c>
      <c r="C523" s="1" t="str">
        <f>IF(A523="","","RECON")</f>
        <v/>
      </c>
      <c r="D523" s="19" t="str">
        <f>IF(A523="","",'Case calculations'!O178)</f>
        <v/>
      </c>
      <c r="E523" s="10" t="str">
        <f>IF(A523="","",Assumptions!$B$29)</f>
        <v/>
      </c>
      <c r="F523" s="10" t="str">
        <f t="shared" si="8"/>
        <v/>
      </c>
      <c r="G523" s="7" t="str">
        <f>IF(A523="","",IF(D523=0,"",'Case calculations'!W178))</f>
        <v/>
      </c>
      <c r="H523" s="1" t="str">
        <f>IF(A523="","",IF(D523=0,"NO PATH",IF(G523&lt;Assumptions!$B$5,"BEFORE AS-OF",IF(G523&gt;=Assumptions!$B$7,"BEYOND HORIZON","IN HORIZON"))))</f>
        <v/>
      </c>
    </row>
    <row r="524" spans="1:8" ht="22" customHeight="1">
      <c r="A524" s="1" t="str">
        <f>IF('Case calculations'!C178&lt;&gt;"OK","",'Case calculations'!A178)</f>
        <v/>
      </c>
      <c r="B524" s="1" t="str">
        <f>IF(A524="","",'Case calculations'!B178)</f>
        <v/>
      </c>
      <c r="C524" s="1" t="str">
        <f>IF(A524="","","HEARING")</f>
        <v/>
      </c>
      <c r="D524" s="19" t="str">
        <f>IF(A524="","",'Case calculations'!S178)</f>
        <v/>
      </c>
      <c r="E524" s="10" t="str">
        <f>IF(A524="","",Assumptions!$B$30)</f>
        <v/>
      </c>
      <c r="F524" s="10" t="str">
        <f t="shared" si="8"/>
        <v/>
      </c>
      <c r="G524" s="7" t="str">
        <f>IF(A524="","",IF(D524=0,"",'Case calculations'!X178))</f>
        <v/>
      </c>
      <c r="H524" s="1" t="str">
        <f>IF(A524="","",IF(D524=0,"NO PATH",IF(G524&lt;Assumptions!$B$5,"BEFORE AS-OF",IF(G524&gt;=Assumptions!$B$7,"BEYOND HORIZON","IN HORIZON"))))</f>
        <v/>
      </c>
    </row>
    <row r="525" spans="1:8" ht="22" customHeight="1">
      <c r="A525" s="1" t="str">
        <f>IF('Case calculations'!C179&lt;&gt;"OK","",'Case calculations'!A179)</f>
        <v/>
      </c>
      <c r="B525" s="1" t="str">
        <f>IF(A525="","",'Case calculations'!B179)</f>
        <v/>
      </c>
      <c r="C525" s="1" t="str">
        <f>IF(A525="","","INITIAL")</f>
        <v/>
      </c>
      <c r="D525" s="19" t="str">
        <f>IF(A525="","",'Case calculations'!N179)</f>
        <v/>
      </c>
      <c r="E525" s="10" t="str">
        <f>IF(A525="","",Assumptions!$B$28)</f>
        <v/>
      </c>
      <c r="F525" s="10" t="str">
        <f t="shared" si="8"/>
        <v/>
      </c>
      <c r="G525" s="7" t="str">
        <f>IF(A525="","",IF(D525=0,"",'Case calculations'!V179))</f>
        <v/>
      </c>
      <c r="H525" s="1" t="str">
        <f>IF(A525="","",IF(D525=0,"NO PATH",IF(G525&lt;Assumptions!$B$5,"BEFORE AS-OF",IF(G525&gt;=Assumptions!$B$7,"BEYOND HORIZON","IN HORIZON"))))</f>
        <v/>
      </c>
    </row>
    <row r="526" spans="1:8" ht="22" customHeight="1">
      <c r="A526" s="1" t="str">
        <f>IF('Case calculations'!C179&lt;&gt;"OK","",'Case calculations'!A179)</f>
        <v/>
      </c>
      <c r="B526" s="1" t="str">
        <f>IF(A526="","",'Case calculations'!B179)</f>
        <v/>
      </c>
      <c r="C526" s="1" t="str">
        <f>IF(A526="","","RECON")</f>
        <v/>
      </c>
      <c r="D526" s="19" t="str">
        <f>IF(A526="","",'Case calculations'!O179)</f>
        <v/>
      </c>
      <c r="E526" s="10" t="str">
        <f>IF(A526="","",Assumptions!$B$29)</f>
        <v/>
      </c>
      <c r="F526" s="10" t="str">
        <f t="shared" si="8"/>
        <v/>
      </c>
      <c r="G526" s="7" t="str">
        <f>IF(A526="","",IF(D526=0,"",'Case calculations'!W179))</f>
        <v/>
      </c>
      <c r="H526" s="1" t="str">
        <f>IF(A526="","",IF(D526=0,"NO PATH",IF(G526&lt;Assumptions!$B$5,"BEFORE AS-OF",IF(G526&gt;=Assumptions!$B$7,"BEYOND HORIZON","IN HORIZON"))))</f>
        <v/>
      </c>
    </row>
    <row r="527" spans="1:8" ht="22" customHeight="1">
      <c r="A527" s="1" t="str">
        <f>IF('Case calculations'!C179&lt;&gt;"OK","",'Case calculations'!A179)</f>
        <v/>
      </c>
      <c r="B527" s="1" t="str">
        <f>IF(A527="","",'Case calculations'!B179)</f>
        <v/>
      </c>
      <c r="C527" s="1" t="str">
        <f>IF(A527="","","HEARING")</f>
        <v/>
      </c>
      <c r="D527" s="19" t="str">
        <f>IF(A527="","",'Case calculations'!S179)</f>
        <v/>
      </c>
      <c r="E527" s="10" t="str">
        <f>IF(A527="","",Assumptions!$B$30)</f>
        <v/>
      </c>
      <c r="F527" s="10" t="str">
        <f t="shared" si="8"/>
        <v/>
      </c>
      <c r="G527" s="7" t="str">
        <f>IF(A527="","",IF(D527=0,"",'Case calculations'!X179))</f>
        <v/>
      </c>
      <c r="H527" s="1" t="str">
        <f>IF(A527="","",IF(D527=0,"NO PATH",IF(G527&lt;Assumptions!$B$5,"BEFORE AS-OF",IF(G527&gt;=Assumptions!$B$7,"BEYOND HORIZON","IN HORIZON"))))</f>
        <v/>
      </c>
    </row>
    <row r="528" spans="1:8" ht="22" customHeight="1">
      <c r="A528" s="1" t="str">
        <f>IF('Case calculations'!C180&lt;&gt;"OK","",'Case calculations'!A180)</f>
        <v/>
      </c>
      <c r="B528" s="1" t="str">
        <f>IF(A528="","",'Case calculations'!B180)</f>
        <v/>
      </c>
      <c r="C528" s="1" t="str">
        <f>IF(A528="","","INITIAL")</f>
        <v/>
      </c>
      <c r="D528" s="19" t="str">
        <f>IF(A528="","",'Case calculations'!N180)</f>
        <v/>
      </c>
      <c r="E528" s="10" t="str">
        <f>IF(A528="","",Assumptions!$B$28)</f>
        <v/>
      </c>
      <c r="F528" s="10" t="str">
        <f t="shared" si="8"/>
        <v/>
      </c>
      <c r="G528" s="7" t="str">
        <f>IF(A528="","",IF(D528=0,"",'Case calculations'!V180))</f>
        <v/>
      </c>
      <c r="H528" s="1" t="str">
        <f>IF(A528="","",IF(D528=0,"NO PATH",IF(G528&lt;Assumptions!$B$5,"BEFORE AS-OF",IF(G528&gt;=Assumptions!$B$7,"BEYOND HORIZON","IN HORIZON"))))</f>
        <v/>
      </c>
    </row>
    <row r="529" spans="1:8" ht="22" customHeight="1">
      <c r="A529" s="1" t="str">
        <f>IF('Case calculations'!C180&lt;&gt;"OK","",'Case calculations'!A180)</f>
        <v/>
      </c>
      <c r="B529" s="1" t="str">
        <f>IF(A529="","",'Case calculations'!B180)</f>
        <v/>
      </c>
      <c r="C529" s="1" t="str">
        <f>IF(A529="","","RECON")</f>
        <v/>
      </c>
      <c r="D529" s="19" t="str">
        <f>IF(A529="","",'Case calculations'!O180)</f>
        <v/>
      </c>
      <c r="E529" s="10" t="str">
        <f>IF(A529="","",Assumptions!$B$29)</f>
        <v/>
      </c>
      <c r="F529" s="10" t="str">
        <f t="shared" si="8"/>
        <v/>
      </c>
      <c r="G529" s="7" t="str">
        <f>IF(A529="","",IF(D529=0,"",'Case calculations'!W180))</f>
        <v/>
      </c>
      <c r="H529" s="1" t="str">
        <f>IF(A529="","",IF(D529=0,"NO PATH",IF(G529&lt;Assumptions!$B$5,"BEFORE AS-OF",IF(G529&gt;=Assumptions!$B$7,"BEYOND HORIZON","IN HORIZON"))))</f>
        <v/>
      </c>
    </row>
    <row r="530" spans="1:8" ht="22" customHeight="1">
      <c r="A530" s="1" t="str">
        <f>IF('Case calculations'!C180&lt;&gt;"OK","",'Case calculations'!A180)</f>
        <v/>
      </c>
      <c r="B530" s="1" t="str">
        <f>IF(A530="","",'Case calculations'!B180)</f>
        <v/>
      </c>
      <c r="C530" s="1" t="str">
        <f>IF(A530="","","HEARING")</f>
        <v/>
      </c>
      <c r="D530" s="19" t="str">
        <f>IF(A530="","",'Case calculations'!S180)</f>
        <v/>
      </c>
      <c r="E530" s="10" t="str">
        <f>IF(A530="","",Assumptions!$B$30)</f>
        <v/>
      </c>
      <c r="F530" s="10" t="str">
        <f t="shared" si="8"/>
        <v/>
      </c>
      <c r="G530" s="7" t="str">
        <f>IF(A530="","",IF(D530=0,"",'Case calculations'!X180))</f>
        <v/>
      </c>
      <c r="H530" s="1" t="str">
        <f>IF(A530="","",IF(D530=0,"NO PATH",IF(G530&lt;Assumptions!$B$5,"BEFORE AS-OF",IF(G530&gt;=Assumptions!$B$7,"BEYOND HORIZON","IN HORIZON"))))</f>
        <v/>
      </c>
    </row>
    <row r="531" spans="1:8" ht="22" customHeight="1">
      <c r="A531" s="1" t="str">
        <f>IF('Case calculations'!C181&lt;&gt;"OK","",'Case calculations'!A181)</f>
        <v/>
      </c>
      <c r="B531" s="1" t="str">
        <f>IF(A531="","",'Case calculations'!B181)</f>
        <v/>
      </c>
      <c r="C531" s="1" t="str">
        <f>IF(A531="","","INITIAL")</f>
        <v/>
      </c>
      <c r="D531" s="19" t="str">
        <f>IF(A531="","",'Case calculations'!N181)</f>
        <v/>
      </c>
      <c r="E531" s="10" t="str">
        <f>IF(A531="","",Assumptions!$B$28)</f>
        <v/>
      </c>
      <c r="F531" s="10" t="str">
        <f t="shared" si="8"/>
        <v/>
      </c>
      <c r="G531" s="7" t="str">
        <f>IF(A531="","",IF(D531=0,"",'Case calculations'!V181))</f>
        <v/>
      </c>
      <c r="H531" s="1" t="str">
        <f>IF(A531="","",IF(D531=0,"NO PATH",IF(G531&lt;Assumptions!$B$5,"BEFORE AS-OF",IF(G531&gt;=Assumptions!$B$7,"BEYOND HORIZON","IN HORIZON"))))</f>
        <v/>
      </c>
    </row>
    <row r="532" spans="1:8" ht="22" customHeight="1">
      <c r="A532" s="1" t="str">
        <f>IF('Case calculations'!C181&lt;&gt;"OK","",'Case calculations'!A181)</f>
        <v/>
      </c>
      <c r="B532" s="1" t="str">
        <f>IF(A532="","",'Case calculations'!B181)</f>
        <v/>
      </c>
      <c r="C532" s="1" t="str">
        <f>IF(A532="","","RECON")</f>
        <v/>
      </c>
      <c r="D532" s="19" t="str">
        <f>IF(A532="","",'Case calculations'!O181)</f>
        <v/>
      </c>
      <c r="E532" s="10" t="str">
        <f>IF(A532="","",Assumptions!$B$29)</f>
        <v/>
      </c>
      <c r="F532" s="10" t="str">
        <f t="shared" si="8"/>
        <v/>
      </c>
      <c r="G532" s="7" t="str">
        <f>IF(A532="","",IF(D532=0,"",'Case calculations'!W181))</f>
        <v/>
      </c>
      <c r="H532" s="1" t="str">
        <f>IF(A532="","",IF(D532=0,"NO PATH",IF(G532&lt;Assumptions!$B$5,"BEFORE AS-OF",IF(G532&gt;=Assumptions!$B$7,"BEYOND HORIZON","IN HORIZON"))))</f>
        <v/>
      </c>
    </row>
    <row r="533" spans="1:8" ht="22" customHeight="1">
      <c r="A533" s="1" t="str">
        <f>IF('Case calculations'!C181&lt;&gt;"OK","",'Case calculations'!A181)</f>
        <v/>
      </c>
      <c r="B533" s="1" t="str">
        <f>IF(A533="","",'Case calculations'!B181)</f>
        <v/>
      </c>
      <c r="C533" s="1" t="str">
        <f>IF(A533="","","HEARING")</f>
        <v/>
      </c>
      <c r="D533" s="19" t="str">
        <f>IF(A533="","",'Case calculations'!S181)</f>
        <v/>
      </c>
      <c r="E533" s="10" t="str">
        <f>IF(A533="","",Assumptions!$B$30)</f>
        <v/>
      </c>
      <c r="F533" s="10" t="str">
        <f t="shared" si="8"/>
        <v/>
      </c>
      <c r="G533" s="7" t="str">
        <f>IF(A533="","",IF(D533=0,"",'Case calculations'!X181))</f>
        <v/>
      </c>
      <c r="H533" s="1" t="str">
        <f>IF(A533="","",IF(D533=0,"NO PATH",IF(G533&lt;Assumptions!$B$5,"BEFORE AS-OF",IF(G533&gt;=Assumptions!$B$7,"BEYOND HORIZON","IN HORIZON"))))</f>
        <v/>
      </c>
    </row>
    <row r="534" spans="1:8" ht="22" customHeight="1">
      <c r="A534" s="1" t="str">
        <f>IF('Case calculations'!C182&lt;&gt;"OK","",'Case calculations'!A182)</f>
        <v/>
      </c>
      <c r="B534" s="1" t="str">
        <f>IF(A534="","",'Case calculations'!B182)</f>
        <v/>
      </c>
      <c r="C534" s="1" t="str">
        <f>IF(A534="","","INITIAL")</f>
        <v/>
      </c>
      <c r="D534" s="19" t="str">
        <f>IF(A534="","",'Case calculations'!N182)</f>
        <v/>
      </c>
      <c r="E534" s="10" t="str">
        <f>IF(A534="","",Assumptions!$B$28)</f>
        <v/>
      </c>
      <c r="F534" s="10" t="str">
        <f t="shared" si="8"/>
        <v/>
      </c>
      <c r="G534" s="7" t="str">
        <f>IF(A534="","",IF(D534=0,"",'Case calculations'!V182))</f>
        <v/>
      </c>
      <c r="H534" s="1" t="str">
        <f>IF(A534="","",IF(D534=0,"NO PATH",IF(G534&lt;Assumptions!$B$5,"BEFORE AS-OF",IF(G534&gt;=Assumptions!$B$7,"BEYOND HORIZON","IN HORIZON"))))</f>
        <v/>
      </c>
    </row>
    <row r="535" spans="1:8" ht="22" customHeight="1">
      <c r="A535" s="1" t="str">
        <f>IF('Case calculations'!C182&lt;&gt;"OK","",'Case calculations'!A182)</f>
        <v/>
      </c>
      <c r="B535" s="1" t="str">
        <f>IF(A535="","",'Case calculations'!B182)</f>
        <v/>
      </c>
      <c r="C535" s="1" t="str">
        <f>IF(A535="","","RECON")</f>
        <v/>
      </c>
      <c r="D535" s="19" t="str">
        <f>IF(A535="","",'Case calculations'!O182)</f>
        <v/>
      </c>
      <c r="E535" s="10" t="str">
        <f>IF(A535="","",Assumptions!$B$29)</f>
        <v/>
      </c>
      <c r="F535" s="10" t="str">
        <f t="shared" si="8"/>
        <v/>
      </c>
      <c r="G535" s="7" t="str">
        <f>IF(A535="","",IF(D535=0,"",'Case calculations'!W182))</f>
        <v/>
      </c>
      <c r="H535" s="1" t="str">
        <f>IF(A535="","",IF(D535=0,"NO PATH",IF(G535&lt;Assumptions!$B$5,"BEFORE AS-OF",IF(G535&gt;=Assumptions!$B$7,"BEYOND HORIZON","IN HORIZON"))))</f>
        <v/>
      </c>
    </row>
    <row r="536" spans="1:8" ht="22" customHeight="1">
      <c r="A536" s="1" t="str">
        <f>IF('Case calculations'!C182&lt;&gt;"OK","",'Case calculations'!A182)</f>
        <v/>
      </c>
      <c r="B536" s="1" t="str">
        <f>IF(A536="","",'Case calculations'!B182)</f>
        <v/>
      </c>
      <c r="C536" s="1" t="str">
        <f>IF(A536="","","HEARING")</f>
        <v/>
      </c>
      <c r="D536" s="19" t="str">
        <f>IF(A536="","",'Case calculations'!S182)</f>
        <v/>
      </c>
      <c r="E536" s="10" t="str">
        <f>IF(A536="","",Assumptions!$B$30)</f>
        <v/>
      </c>
      <c r="F536" s="10" t="str">
        <f t="shared" si="8"/>
        <v/>
      </c>
      <c r="G536" s="7" t="str">
        <f>IF(A536="","",IF(D536=0,"",'Case calculations'!X182))</f>
        <v/>
      </c>
      <c r="H536" s="1" t="str">
        <f>IF(A536="","",IF(D536=0,"NO PATH",IF(G536&lt;Assumptions!$B$5,"BEFORE AS-OF",IF(G536&gt;=Assumptions!$B$7,"BEYOND HORIZON","IN HORIZON"))))</f>
        <v/>
      </c>
    </row>
    <row r="537" spans="1:8" ht="22" customHeight="1">
      <c r="A537" s="1" t="str">
        <f>IF('Case calculations'!C183&lt;&gt;"OK","",'Case calculations'!A183)</f>
        <v/>
      </c>
      <c r="B537" s="1" t="str">
        <f>IF(A537="","",'Case calculations'!B183)</f>
        <v/>
      </c>
      <c r="C537" s="1" t="str">
        <f>IF(A537="","","INITIAL")</f>
        <v/>
      </c>
      <c r="D537" s="19" t="str">
        <f>IF(A537="","",'Case calculations'!N183)</f>
        <v/>
      </c>
      <c r="E537" s="10" t="str">
        <f>IF(A537="","",Assumptions!$B$28)</f>
        <v/>
      </c>
      <c r="F537" s="10" t="str">
        <f t="shared" si="8"/>
        <v/>
      </c>
      <c r="G537" s="7" t="str">
        <f>IF(A537="","",IF(D537=0,"",'Case calculations'!V183))</f>
        <v/>
      </c>
      <c r="H537" s="1" t="str">
        <f>IF(A537="","",IF(D537=0,"NO PATH",IF(G537&lt;Assumptions!$B$5,"BEFORE AS-OF",IF(G537&gt;=Assumptions!$B$7,"BEYOND HORIZON","IN HORIZON"))))</f>
        <v/>
      </c>
    </row>
    <row r="538" spans="1:8" ht="22" customHeight="1">
      <c r="A538" s="1" t="str">
        <f>IF('Case calculations'!C183&lt;&gt;"OK","",'Case calculations'!A183)</f>
        <v/>
      </c>
      <c r="B538" s="1" t="str">
        <f>IF(A538="","",'Case calculations'!B183)</f>
        <v/>
      </c>
      <c r="C538" s="1" t="str">
        <f>IF(A538="","","RECON")</f>
        <v/>
      </c>
      <c r="D538" s="19" t="str">
        <f>IF(A538="","",'Case calculations'!O183)</f>
        <v/>
      </c>
      <c r="E538" s="10" t="str">
        <f>IF(A538="","",Assumptions!$B$29)</f>
        <v/>
      </c>
      <c r="F538" s="10" t="str">
        <f t="shared" si="8"/>
        <v/>
      </c>
      <c r="G538" s="7" t="str">
        <f>IF(A538="","",IF(D538=0,"",'Case calculations'!W183))</f>
        <v/>
      </c>
      <c r="H538" s="1" t="str">
        <f>IF(A538="","",IF(D538=0,"NO PATH",IF(G538&lt;Assumptions!$B$5,"BEFORE AS-OF",IF(G538&gt;=Assumptions!$B$7,"BEYOND HORIZON","IN HORIZON"))))</f>
        <v/>
      </c>
    </row>
    <row r="539" spans="1:8" ht="22" customHeight="1">
      <c r="A539" s="1" t="str">
        <f>IF('Case calculations'!C183&lt;&gt;"OK","",'Case calculations'!A183)</f>
        <v/>
      </c>
      <c r="B539" s="1" t="str">
        <f>IF(A539="","",'Case calculations'!B183)</f>
        <v/>
      </c>
      <c r="C539" s="1" t="str">
        <f>IF(A539="","","HEARING")</f>
        <v/>
      </c>
      <c r="D539" s="19" t="str">
        <f>IF(A539="","",'Case calculations'!S183)</f>
        <v/>
      </c>
      <c r="E539" s="10" t="str">
        <f>IF(A539="","",Assumptions!$B$30)</f>
        <v/>
      </c>
      <c r="F539" s="10" t="str">
        <f t="shared" si="8"/>
        <v/>
      </c>
      <c r="G539" s="7" t="str">
        <f>IF(A539="","",IF(D539=0,"",'Case calculations'!X183))</f>
        <v/>
      </c>
      <c r="H539" s="1" t="str">
        <f>IF(A539="","",IF(D539=0,"NO PATH",IF(G539&lt;Assumptions!$B$5,"BEFORE AS-OF",IF(G539&gt;=Assumptions!$B$7,"BEYOND HORIZON","IN HORIZON"))))</f>
        <v/>
      </c>
    </row>
    <row r="540" spans="1:8" ht="22" customHeight="1">
      <c r="A540" s="1" t="str">
        <f>IF('Case calculations'!C184&lt;&gt;"OK","",'Case calculations'!A184)</f>
        <v/>
      </c>
      <c r="B540" s="1" t="str">
        <f>IF(A540="","",'Case calculations'!B184)</f>
        <v/>
      </c>
      <c r="C540" s="1" t="str">
        <f>IF(A540="","","INITIAL")</f>
        <v/>
      </c>
      <c r="D540" s="19" t="str">
        <f>IF(A540="","",'Case calculations'!N184)</f>
        <v/>
      </c>
      <c r="E540" s="10" t="str">
        <f>IF(A540="","",Assumptions!$B$28)</f>
        <v/>
      </c>
      <c r="F540" s="10" t="str">
        <f t="shared" si="8"/>
        <v/>
      </c>
      <c r="G540" s="7" t="str">
        <f>IF(A540="","",IF(D540=0,"",'Case calculations'!V184))</f>
        <v/>
      </c>
      <c r="H540" s="1" t="str">
        <f>IF(A540="","",IF(D540=0,"NO PATH",IF(G540&lt;Assumptions!$B$5,"BEFORE AS-OF",IF(G540&gt;=Assumptions!$B$7,"BEYOND HORIZON","IN HORIZON"))))</f>
        <v/>
      </c>
    </row>
    <row r="541" spans="1:8" ht="22" customHeight="1">
      <c r="A541" s="1" t="str">
        <f>IF('Case calculations'!C184&lt;&gt;"OK","",'Case calculations'!A184)</f>
        <v/>
      </c>
      <c r="B541" s="1" t="str">
        <f>IF(A541="","",'Case calculations'!B184)</f>
        <v/>
      </c>
      <c r="C541" s="1" t="str">
        <f>IF(A541="","","RECON")</f>
        <v/>
      </c>
      <c r="D541" s="19" t="str">
        <f>IF(A541="","",'Case calculations'!O184)</f>
        <v/>
      </c>
      <c r="E541" s="10" t="str">
        <f>IF(A541="","",Assumptions!$B$29)</f>
        <v/>
      </c>
      <c r="F541" s="10" t="str">
        <f t="shared" si="8"/>
        <v/>
      </c>
      <c r="G541" s="7" t="str">
        <f>IF(A541="","",IF(D541=0,"",'Case calculations'!W184))</f>
        <v/>
      </c>
      <c r="H541" s="1" t="str">
        <f>IF(A541="","",IF(D541=0,"NO PATH",IF(G541&lt;Assumptions!$B$5,"BEFORE AS-OF",IF(G541&gt;=Assumptions!$B$7,"BEYOND HORIZON","IN HORIZON"))))</f>
        <v/>
      </c>
    </row>
    <row r="542" spans="1:8" ht="22" customHeight="1">
      <c r="A542" s="1" t="str">
        <f>IF('Case calculations'!C184&lt;&gt;"OK","",'Case calculations'!A184)</f>
        <v/>
      </c>
      <c r="B542" s="1" t="str">
        <f>IF(A542="","",'Case calculations'!B184)</f>
        <v/>
      </c>
      <c r="C542" s="1" t="str">
        <f>IF(A542="","","HEARING")</f>
        <v/>
      </c>
      <c r="D542" s="19" t="str">
        <f>IF(A542="","",'Case calculations'!S184)</f>
        <v/>
      </c>
      <c r="E542" s="10" t="str">
        <f>IF(A542="","",Assumptions!$B$30)</f>
        <v/>
      </c>
      <c r="F542" s="10" t="str">
        <f t="shared" si="8"/>
        <v/>
      </c>
      <c r="G542" s="7" t="str">
        <f>IF(A542="","",IF(D542=0,"",'Case calculations'!X184))</f>
        <v/>
      </c>
      <c r="H542" s="1" t="str">
        <f>IF(A542="","",IF(D542=0,"NO PATH",IF(G542&lt;Assumptions!$B$5,"BEFORE AS-OF",IF(G542&gt;=Assumptions!$B$7,"BEYOND HORIZON","IN HORIZON"))))</f>
        <v/>
      </c>
    </row>
    <row r="543" spans="1:8" ht="22" customHeight="1">
      <c r="A543" s="1" t="str">
        <f>IF('Case calculations'!C185&lt;&gt;"OK","",'Case calculations'!A185)</f>
        <v/>
      </c>
      <c r="B543" s="1" t="str">
        <f>IF(A543="","",'Case calculations'!B185)</f>
        <v/>
      </c>
      <c r="C543" s="1" t="str">
        <f>IF(A543="","","INITIAL")</f>
        <v/>
      </c>
      <c r="D543" s="19" t="str">
        <f>IF(A543="","",'Case calculations'!N185)</f>
        <v/>
      </c>
      <c r="E543" s="10" t="str">
        <f>IF(A543="","",Assumptions!$B$28)</f>
        <v/>
      </c>
      <c r="F543" s="10" t="str">
        <f t="shared" si="8"/>
        <v/>
      </c>
      <c r="G543" s="7" t="str">
        <f>IF(A543="","",IF(D543=0,"",'Case calculations'!V185))</f>
        <v/>
      </c>
      <c r="H543" s="1" t="str">
        <f>IF(A543="","",IF(D543=0,"NO PATH",IF(G543&lt;Assumptions!$B$5,"BEFORE AS-OF",IF(G543&gt;=Assumptions!$B$7,"BEYOND HORIZON","IN HORIZON"))))</f>
        <v/>
      </c>
    </row>
    <row r="544" spans="1:8" ht="22" customHeight="1">
      <c r="A544" s="1" t="str">
        <f>IF('Case calculations'!C185&lt;&gt;"OK","",'Case calculations'!A185)</f>
        <v/>
      </c>
      <c r="B544" s="1" t="str">
        <f>IF(A544="","",'Case calculations'!B185)</f>
        <v/>
      </c>
      <c r="C544" s="1" t="str">
        <f>IF(A544="","","RECON")</f>
        <v/>
      </c>
      <c r="D544" s="19" t="str">
        <f>IF(A544="","",'Case calculations'!O185)</f>
        <v/>
      </c>
      <c r="E544" s="10" t="str">
        <f>IF(A544="","",Assumptions!$B$29)</f>
        <v/>
      </c>
      <c r="F544" s="10" t="str">
        <f t="shared" si="8"/>
        <v/>
      </c>
      <c r="G544" s="7" t="str">
        <f>IF(A544="","",IF(D544=0,"",'Case calculations'!W185))</f>
        <v/>
      </c>
      <c r="H544" s="1" t="str">
        <f>IF(A544="","",IF(D544=0,"NO PATH",IF(G544&lt;Assumptions!$B$5,"BEFORE AS-OF",IF(G544&gt;=Assumptions!$B$7,"BEYOND HORIZON","IN HORIZON"))))</f>
        <v/>
      </c>
    </row>
    <row r="545" spans="1:8" ht="22" customHeight="1">
      <c r="A545" s="1" t="str">
        <f>IF('Case calculations'!C185&lt;&gt;"OK","",'Case calculations'!A185)</f>
        <v/>
      </c>
      <c r="B545" s="1" t="str">
        <f>IF(A545="","",'Case calculations'!B185)</f>
        <v/>
      </c>
      <c r="C545" s="1" t="str">
        <f>IF(A545="","","HEARING")</f>
        <v/>
      </c>
      <c r="D545" s="19" t="str">
        <f>IF(A545="","",'Case calculations'!S185)</f>
        <v/>
      </c>
      <c r="E545" s="10" t="str">
        <f>IF(A545="","",Assumptions!$B$30)</f>
        <v/>
      </c>
      <c r="F545" s="10" t="str">
        <f t="shared" si="8"/>
        <v/>
      </c>
      <c r="G545" s="7" t="str">
        <f>IF(A545="","",IF(D545=0,"",'Case calculations'!X185))</f>
        <v/>
      </c>
      <c r="H545" s="1" t="str">
        <f>IF(A545="","",IF(D545=0,"NO PATH",IF(G545&lt;Assumptions!$B$5,"BEFORE AS-OF",IF(G545&gt;=Assumptions!$B$7,"BEYOND HORIZON","IN HORIZON"))))</f>
        <v/>
      </c>
    </row>
    <row r="546" spans="1:8" ht="22" customHeight="1">
      <c r="A546" s="1" t="str">
        <f>IF('Case calculations'!C186&lt;&gt;"OK","",'Case calculations'!A186)</f>
        <v/>
      </c>
      <c r="B546" s="1" t="str">
        <f>IF(A546="","",'Case calculations'!B186)</f>
        <v/>
      </c>
      <c r="C546" s="1" t="str">
        <f>IF(A546="","","INITIAL")</f>
        <v/>
      </c>
      <c r="D546" s="19" t="str">
        <f>IF(A546="","",'Case calculations'!N186)</f>
        <v/>
      </c>
      <c r="E546" s="10" t="str">
        <f>IF(A546="","",Assumptions!$B$28)</f>
        <v/>
      </c>
      <c r="F546" s="10" t="str">
        <f t="shared" si="8"/>
        <v/>
      </c>
      <c r="G546" s="7" t="str">
        <f>IF(A546="","",IF(D546=0,"",'Case calculations'!V186))</f>
        <v/>
      </c>
      <c r="H546" s="1" t="str">
        <f>IF(A546="","",IF(D546=0,"NO PATH",IF(G546&lt;Assumptions!$B$5,"BEFORE AS-OF",IF(G546&gt;=Assumptions!$B$7,"BEYOND HORIZON","IN HORIZON"))))</f>
        <v/>
      </c>
    </row>
    <row r="547" spans="1:8" ht="22" customHeight="1">
      <c r="A547" s="1" t="str">
        <f>IF('Case calculations'!C186&lt;&gt;"OK","",'Case calculations'!A186)</f>
        <v/>
      </c>
      <c r="B547" s="1" t="str">
        <f>IF(A547="","",'Case calculations'!B186)</f>
        <v/>
      </c>
      <c r="C547" s="1" t="str">
        <f>IF(A547="","","RECON")</f>
        <v/>
      </c>
      <c r="D547" s="19" t="str">
        <f>IF(A547="","",'Case calculations'!O186)</f>
        <v/>
      </c>
      <c r="E547" s="10" t="str">
        <f>IF(A547="","",Assumptions!$B$29)</f>
        <v/>
      </c>
      <c r="F547" s="10" t="str">
        <f t="shared" si="8"/>
        <v/>
      </c>
      <c r="G547" s="7" t="str">
        <f>IF(A547="","",IF(D547=0,"",'Case calculations'!W186))</f>
        <v/>
      </c>
      <c r="H547" s="1" t="str">
        <f>IF(A547="","",IF(D547=0,"NO PATH",IF(G547&lt;Assumptions!$B$5,"BEFORE AS-OF",IF(G547&gt;=Assumptions!$B$7,"BEYOND HORIZON","IN HORIZON"))))</f>
        <v/>
      </c>
    </row>
    <row r="548" spans="1:8" ht="22" customHeight="1">
      <c r="A548" s="1" t="str">
        <f>IF('Case calculations'!C186&lt;&gt;"OK","",'Case calculations'!A186)</f>
        <v/>
      </c>
      <c r="B548" s="1" t="str">
        <f>IF(A548="","",'Case calculations'!B186)</f>
        <v/>
      </c>
      <c r="C548" s="1" t="str">
        <f>IF(A548="","","HEARING")</f>
        <v/>
      </c>
      <c r="D548" s="19" t="str">
        <f>IF(A548="","",'Case calculations'!S186)</f>
        <v/>
      </c>
      <c r="E548" s="10" t="str">
        <f>IF(A548="","",Assumptions!$B$30)</f>
        <v/>
      </c>
      <c r="F548" s="10" t="str">
        <f t="shared" si="8"/>
        <v/>
      </c>
      <c r="G548" s="7" t="str">
        <f>IF(A548="","",IF(D548=0,"",'Case calculations'!X186))</f>
        <v/>
      </c>
      <c r="H548" s="1" t="str">
        <f>IF(A548="","",IF(D548=0,"NO PATH",IF(G548&lt;Assumptions!$B$5,"BEFORE AS-OF",IF(G548&gt;=Assumptions!$B$7,"BEYOND HORIZON","IN HORIZON"))))</f>
        <v/>
      </c>
    </row>
    <row r="549" spans="1:8" ht="22" customHeight="1">
      <c r="A549" s="1" t="str">
        <f>IF('Case calculations'!C187&lt;&gt;"OK","",'Case calculations'!A187)</f>
        <v/>
      </c>
      <c r="B549" s="1" t="str">
        <f>IF(A549="","",'Case calculations'!B187)</f>
        <v/>
      </c>
      <c r="C549" s="1" t="str">
        <f>IF(A549="","","INITIAL")</f>
        <v/>
      </c>
      <c r="D549" s="19" t="str">
        <f>IF(A549="","",'Case calculations'!N187)</f>
        <v/>
      </c>
      <c r="E549" s="10" t="str">
        <f>IF(A549="","",Assumptions!$B$28)</f>
        <v/>
      </c>
      <c r="F549" s="10" t="str">
        <f t="shared" si="8"/>
        <v/>
      </c>
      <c r="G549" s="7" t="str">
        <f>IF(A549="","",IF(D549=0,"",'Case calculations'!V187))</f>
        <v/>
      </c>
      <c r="H549" s="1" t="str">
        <f>IF(A549="","",IF(D549=0,"NO PATH",IF(G549&lt;Assumptions!$B$5,"BEFORE AS-OF",IF(G549&gt;=Assumptions!$B$7,"BEYOND HORIZON","IN HORIZON"))))</f>
        <v/>
      </c>
    </row>
    <row r="550" spans="1:8" ht="22" customHeight="1">
      <c r="A550" s="1" t="str">
        <f>IF('Case calculations'!C187&lt;&gt;"OK","",'Case calculations'!A187)</f>
        <v/>
      </c>
      <c r="B550" s="1" t="str">
        <f>IF(A550="","",'Case calculations'!B187)</f>
        <v/>
      </c>
      <c r="C550" s="1" t="str">
        <f>IF(A550="","","RECON")</f>
        <v/>
      </c>
      <c r="D550" s="19" t="str">
        <f>IF(A550="","",'Case calculations'!O187)</f>
        <v/>
      </c>
      <c r="E550" s="10" t="str">
        <f>IF(A550="","",Assumptions!$B$29)</f>
        <v/>
      </c>
      <c r="F550" s="10" t="str">
        <f t="shared" si="8"/>
        <v/>
      </c>
      <c r="G550" s="7" t="str">
        <f>IF(A550="","",IF(D550=0,"",'Case calculations'!W187))</f>
        <v/>
      </c>
      <c r="H550" s="1" t="str">
        <f>IF(A550="","",IF(D550=0,"NO PATH",IF(G550&lt;Assumptions!$B$5,"BEFORE AS-OF",IF(G550&gt;=Assumptions!$B$7,"BEYOND HORIZON","IN HORIZON"))))</f>
        <v/>
      </c>
    </row>
    <row r="551" spans="1:8" ht="22" customHeight="1">
      <c r="A551" s="1" t="str">
        <f>IF('Case calculations'!C187&lt;&gt;"OK","",'Case calculations'!A187)</f>
        <v/>
      </c>
      <c r="B551" s="1" t="str">
        <f>IF(A551="","",'Case calculations'!B187)</f>
        <v/>
      </c>
      <c r="C551" s="1" t="str">
        <f>IF(A551="","","HEARING")</f>
        <v/>
      </c>
      <c r="D551" s="19" t="str">
        <f>IF(A551="","",'Case calculations'!S187)</f>
        <v/>
      </c>
      <c r="E551" s="10" t="str">
        <f>IF(A551="","",Assumptions!$B$30)</f>
        <v/>
      </c>
      <c r="F551" s="10" t="str">
        <f t="shared" si="8"/>
        <v/>
      </c>
      <c r="G551" s="7" t="str">
        <f>IF(A551="","",IF(D551=0,"",'Case calculations'!X187))</f>
        <v/>
      </c>
      <c r="H551" s="1" t="str">
        <f>IF(A551="","",IF(D551=0,"NO PATH",IF(G551&lt;Assumptions!$B$5,"BEFORE AS-OF",IF(G551&gt;=Assumptions!$B$7,"BEYOND HORIZON","IN HORIZON"))))</f>
        <v/>
      </c>
    </row>
    <row r="552" spans="1:8" ht="22" customHeight="1">
      <c r="A552" s="1" t="str">
        <f>IF('Case calculations'!C188&lt;&gt;"OK","",'Case calculations'!A188)</f>
        <v/>
      </c>
      <c r="B552" s="1" t="str">
        <f>IF(A552="","",'Case calculations'!B188)</f>
        <v/>
      </c>
      <c r="C552" s="1" t="str">
        <f>IF(A552="","","INITIAL")</f>
        <v/>
      </c>
      <c r="D552" s="19" t="str">
        <f>IF(A552="","",'Case calculations'!N188)</f>
        <v/>
      </c>
      <c r="E552" s="10" t="str">
        <f>IF(A552="","",Assumptions!$B$28)</f>
        <v/>
      </c>
      <c r="F552" s="10" t="str">
        <f t="shared" si="8"/>
        <v/>
      </c>
      <c r="G552" s="7" t="str">
        <f>IF(A552="","",IF(D552=0,"",'Case calculations'!V188))</f>
        <v/>
      </c>
      <c r="H552" s="1" t="str">
        <f>IF(A552="","",IF(D552=0,"NO PATH",IF(G552&lt;Assumptions!$B$5,"BEFORE AS-OF",IF(G552&gt;=Assumptions!$B$7,"BEYOND HORIZON","IN HORIZON"))))</f>
        <v/>
      </c>
    </row>
    <row r="553" spans="1:8" ht="22" customHeight="1">
      <c r="A553" s="1" t="str">
        <f>IF('Case calculations'!C188&lt;&gt;"OK","",'Case calculations'!A188)</f>
        <v/>
      </c>
      <c r="B553" s="1" t="str">
        <f>IF(A553="","",'Case calculations'!B188)</f>
        <v/>
      </c>
      <c r="C553" s="1" t="str">
        <f>IF(A553="","","RECON")</f>
        <v/>
      </c>
      <c r="D553" s="19" t="str">
        <f>IF(A553="","",'Case calculations'!O188)</f>
        <v/>
      </c>
      <c r="E553" s="10" t="str">
        <f>IF(A553="","",Assumptions!$B$29)</f>
        <v/>
      </c>
      <c r="F553" s="10" t="str">
        <f t="shared" si="8"/>
        <v/>
      </c>
      <c r="G553" s="7" t="str">
        <f>IF(A553="","",IF(D553=0,"",'Case calculations'!W188))</f>
        <v/>
      </c>
      <c r="H553" s="1" t="str">
        <f>IF(A553="","",IF(D553=0,"NO PATH",IF(G553&lt;Assumptions!$B$5,"BEFORE AS-OF",IF(G553&gt;=Assumptions!$B$7,"BEYOND HORIZON","IN HORIZON"))))</f>
        <v/>
      </c>
    </row>
    <row r="554" spans="1:8" ht="22" customHeight="1">
      <c r="A554" s="1" t="str">
        <f>IF('Case calculations'!C188&lt;&gt;"OK","",'Case calculations'!A188)</f>
        <v/>
      </c>
      <c r="B554" s="1" t="str">
        <f>IF(A554="","",'Case calculations'!B188)</f>
        <v/>
      </c>
      <c r="C554" s="1" t="str">
        <f>IF(A554="","","HEARING")</f>
        <v/>
      </c>
      <c r="D554" s="19" t="str">
        <f>IF(A554="","",'Case calculations'!S188)</f>
        <v/>
      </c>
      <c r="E554" s="10" t="str">
        <f>IF(A554="","",Assumptions!$B$30)</f>
        <v/>
      </c>
      <c r="F554" s="10" t="str">
        <f t="shared" si="8"/>
        <v/>
      </c>
      <c r="G554" s="7" t="str">
        <f>IF(A554="","",IF(D554=0,"",'Case calculations'!X188))</f>
        <v/>
      </c>
      <c r="H554" s="1" t="str">
        <f>IF(A554="","",IF(D554=0,"NO PATH",IF(G554&lt;Assumptions!$B$5,"BEFORE AS-OF",IF(G554&gt;=Assumptions!$B$7,"BEYOND HORIZON","IN HORIZON"))))</f>
        <v/>
      </c>
    </row>
    <row r="555" spans="1:8" ht="22" customHeight="1">
      <c r="A555" s="1" t="str">
        <f>IF('Case calculations'!C189&lt;&gt;"OK","",'Case calculations'!A189)</f>
        <v/>
      </c>
      <c r="B555" s="1" t="str">
        <f>IF(A555="","",'Case calculations'!B189)</f>
        <v/>
      </c>
      <c r="C555" s="1" t="str">
        <f>IF(A555="","","INITIAL")</f>
        <v/>
      </c>
      <c r="D555" s="19" t="str">
        <f>IF(A555="","",'Case calculations'!N189)</f>
        <v/>
      </c>
      <c r="E555" s="10" t="str">
        <f>IF(A555="","",Assumptions!$B$28)</f>
        <v/>
      </c>
      <c r="F555" s="10" t="str">
        <f t="shared" si="8"/>
        <v/>
      </c>
      <c r="G555" s="7" t="str">
        <f>IF(A555="","",IF(D555=0,"",'Case calculations'!V189))</f>
        <v/>
      </c>
      <c r="H555" s="1" t="str">
        <f>IF(A555="","",IF(D555=0,"NO PATH",IF(G555&lt;Assumptions!$B$5,"BEFORE AS-OF",IF(G555&gt;=Assumptions!$B$7,"BEYOND HORIZON","IN HORIZON"))))</f>
        <v/>
      </c>
    </row>
    <row r="556" spans="1:8" ht="22" customHeight="1">
      <c r="A556" s="1" t="str">
        <f>IF('Case calculations'!C189&lt;&gt;"OK","",'Case calculations'!A189)</f>
        <v/>
      </c>
      <c r="B556" s="1" t="str">
        <f>IF(A556="","",'Case calculations'!B189)</f>
        <v/>
      </c>
      <c r="C556" s="1" t="str">
        <f>IF(A556="","","RECON")</f>
        <v/>
      </c>
      <c r="D556" s="19" t="str">
        <f>IF(A556="","",'Case calculations'!O189)</f>
        <v/>
      </c>
      <c r="E556" s="10" t="str">
        <f>IF(A556="","",Assumptions!$B$29)</f>
        <v/>
      </c>
      <c r="F556" s="10" t="str">
        <f t="shared" si="8"/>
        <v/>
      </c>
      <c r="G556" s="7" t="str">
        <f>IF(A556="","",IF(D556=0,"",'Case calculations'!W189))</f>
        <v/>
      </c>
      <c r="H556" s="1" t="str">
        <f>IF(A556="","",IF(D556=0,"NO PATH",IF(G556&lt;Assumptions!$B$5,"BEFORE AS-OF",IF(G556&gt;=Assumptions!$B$7,"BEYOND HORIZON","IN HORIZON"))))</f>
        <v/>
      </c>
    </row>
    <row r="557" spans="1:8" ht="22" customHeight="1">
      <c r="A557" s="1" t="str">
        <f>IF('Case calculations'!C189&lt;&gt;"OK","",'Case calculations'!A189)</f>
        <v/>
      </c>
      <c r="B557" s="1" t="str">
        <f>IF(A557="","",'Case calculations'!B189)</f>
        <v/>
      </c>
      <c r="C557" s="1" t="str">
        <f>IF(A557="","","HEARING")</f>
        <v/>
      </c>
      <c r="D557" s="19" t="str">
        <f>IF(A557="","",'Case calculations'!S189)</f>
        <v/>
      </c>
      <c r="E557" s="10" t="str">
        <f>IF(A557="","",Assumptions!$B$30)</f>
        <v/>
      </c>
      <c r="F557" s="10" t="str">
        <f t="shared" si="8"/>
        <v/>
      </c>
      <c r="G557" s="7" t="str">
        <f>IF(A557="","",IF(D557=0,"",'Case calculations'!X189))</f>
        <v/>
      </c>
      <c r="H557" s="1" t="str">
        <f>IF(A557="","",IF(D557=0,"NO PATH",IF(G557&lt;Assumptions!$B$5,"BEFORE AS-OF",IF(G557&gt;=Assumptions!$B$7,"BEYOND HORIZON","IN HORIZON"))))</f>
        <v/>
      </c>
    </row>
    <row r="558" spans="1:8" ht="22" customHeight="1">
      <c r="A558" s="1" t="str">
        <f>IF('Case calculations'!C190&lt;&gt;"OK","",'Case calculations'!A190)</f>
        <v/>
      </c>
      <c r="B558" s="1" t="str">
        <f>IF(A558="","",'Case calculations'!B190)</f>
        <v/>
      </c>
      <c r="C558" s="1" t="str">
        <f>IF(A558="","","INITIAL")</f>
        <v/>
      </c>
      <c r="D558" s="19" t="str">
        <f>IF(A558="","",'Case calculations'!N190)</f>
        <v/>
      </c>
      <c r="E558" s="10" t="str">
        <f>IF(A558="","",Assumptions!$B$28)</f>
        <v/>
      </c>
      <c r="F558" s="10" t="str">
        <f t="shared" si="8"/>
        <v/>
      </c>
      <c r="G558" s="7" t="str">
        <f>IF(A558="","",IF(D558=0,"",'Case calculations'!V190))</f>
        <v/>
      </c>
      <c r="H558" s="1" t="str">
        <f>IF(A558="","",IF(D558=0,"NO PATH",IF(G558&lt;Assumptions!$B$5,"BEFORE AS-OF",IF(G558&gt;=Assumptions!$B$7,"BEYOND HORIZON","IN HORIZON"))))</f>
        <v/>
      </c>
    </row>
    <row r="559" spans="1:8" ht="22" customHeight="1">
      <c r="A559" s="1" t="str">
        <f>IF('Case calculations'!C190&lt;&gt;"OK","",'Case calculations'!A190)</f>
        <v/>
      </c>
      <c r="B559" s="1" t="str">
        <f>IF(A559="","",'Case calculations'!B190)</f>
        <v/>
      </c>
      <c r="C559" s="1" t="str">
        <f>IF(A559="","","RECON")</f>
        <v/>
      </c>
      <c r="D559" s="19" t="str">
        <f>IF(A559="","",'Case calculations'!O190)</f>
        <v/>
      </c>
      <c r="E559" s="10" t="str">
        <f>IF(A559="","",Assumptions!$B$29)</f>
        <v/>
      </c>
      <c r="F559" s="10" t="str">
        <f t="shared" si="8"/>
        <v/>
      </c>
      <c r="G559" s="7" t="str">
        <f>IF(A559="","",IF(D559=0,"",'Case calculations'!W190))</f>
        <v/>
      </c>
      <c r="H559" s="1" t="str">
        <f>IF(A559="","",IF(D559=0,"NO PATH",IF(G559&lt;Assumptions!$B$5,"BEFORE AS-OF",IF(G559&gt;=Assumptions!$B$7,"BEYOND HORIZON","IN HORIZON"))))</f>
        <v/>
      </c>
    </row>
    <row r="560" spans="1:8" ht="22" customHeight="1">
      <c r="A560" s="1" t="str">
        <f>IF('Case calculations'!C190&lt;&gt;"OK","",'Case calculations'!A190)</f>
        <v/>
      </c>
      <c r="B560" s="1" t="str">
        <f>IF(A560="","",'Case calculations'!B190)</f>
        <v/>
      </c>
      <c r="C560" s="1" t="str">
        <f>IF(A560="","","HEARING")</f>
        <v/>
      </c>
      <c r="D560" s="19" t="str">
        <f>IF(A560="","",'Case calculations'!S190)</f>
        <v/>
      </c>
      <c r="E560" s="10" t="str">
        <f>IF(A560="","",Assumptions!$B$30)</f>
        <v/>
      </c>
      <c r="F560" s="10" t="str">
        <f t="shared" si="8"/>
        <v/>
      </c>
      <c r="G560" s="7" t="str">
        <f>IF(A560="","",IF(D560=0,"",'Case calculations'!X190))</f>
        <v/>
      </c>
      <c r="H560" s="1" t="str">
        <f>IF(A560="","",IF(D560=0,"NO PATH",IF(G560&lt;Assumptions!$B$5,"BEFORE AS-OF",IF(G560&gt;=Assumptions!$B$7,"BEYOND HORIZON","IN HORIZON"))))</f>
        <v/>
      </c>
    </row>
    <row r="561" spans="1:8" ht="22" customHeight="1">
      <c r="A561" s="1" t="str">
        <f>IF('Case calculations'!C191&lt;&gt;"OK","",'Case calculations'!A191)</f>
        <v/>
      </c>
      <c r="B561" s="1" t="str">
        <f>IF(A561="","",'Case calculations'!B191)</f>
        <v/>
      </c>
      <c r="C561" s="1" t="str">
        <f>IF(A561="","","INITIAL")</f>
        <v/>
      </c>
      <c r="D561" s="19" t="str">
        <f>IF(A561="","",'Case calculations'!N191)</f>
        <v/>
      </c>
      <c r="E561" s="10" t="str">
        <f>IF(A561="","",Assumptions!$B$28)</f>
        <v/>
      </c>
      <c r="F561" s="10" t="str">
        <f t="shared" si="8"/>
        <v/>
      </c>
      <c r="G561" s="7" t="str">
        <f>IF(A561="","",IF(D561=0,"",'Case calculations'!V191))</f>
        <v/>
      </c>
      <c r="H561" s="1" t="str">
        <f>IF(A561="","",IF(D561=0,"NO PATH",IF(G561&lt;Assumptions!$B$5,"BEFORE AS-OF",IF(G561&gt;=Assumptions!$B$7,"BEYOND HORIZON","IN HORIZON"))))</f>
        <v/>
      </c>
    </row>
    <row r="562" spans="1:8" ht="22" customHeight="1">
      <c r="A562" s="1" t="str">
        <f>IF('Case calculations'!C191&lt;&gt;"OK","",'Case calculations'!A191)</f>
        <v/>
      </c>
      <c r="B562" s="1" t="str">
        <f>IF(A562="","",'Case calculations'!B191)</f>
        <v/>
      </c>
      <c r="C562" s="1" t="str">
        <f>IF(A562="","","RECON")</f>
        <v/>
      </c>
      <c r="D562" s="19" t="str">
        <f>IF(A562="","",'Case calculations'!O191)</f>
        <v/>
      </c>
      <c r="E562" s="10" t="str">
        <f>IF(A562="","",Assumptions!$B$29)</f>
        <v/>
      </c>
      <c r="F562" s="10" t="str">
        <f t="shared" si="8"/>
        <v/>
      </c>
      <c r="G562" s="7" t="str">
        <f>IF(A562="","",IF(D562=0,"",'Case calculations'!W191))</f>
        <v/>
      </c>
      <c r="H562" s="1" t="str">
        <f>IF(A562="","",IF(D562=0,"NO PATH",IF(G562&lt;Assumptions!$B$5,"BEFORE AS-OF",IF(G562&gt;=Assumptions!$B$7,"BEYOND HORIZON","IN HORIZON"))))</f>
        <v/>
      </c>
    </row>
    <row r="563" spans="1:8" ht="22" customHeight="1">
      <c r="A563" s="1" t="str">
        <f>IF('Case calculations'!C191&lt;&gt;"OK","",'Case calculations'!A191)</f>
        <v/>
      </c>
      <c r="B563" s="1" t="str">
        <f>IF(A563="","",'Case calculations'!B191)</f>
        <v/>
      </c>
      <c r="C563" s="1" t="str">
        <f>IF(A563="","","HEARING")</f>
        <v/>
      </c>
      <c r="D563" s="19" t="str">
        <f>IF(A563="","",'Case calculations'!S191)</f>
        <v/>
      </c>
      <c r="E563" s="10" t="str">
        <f>IF(A563="","",Assumptions!$B$30)</f>
        <v/>
      </c>
      <c r="F563" s="10" t="str">
        <f t="shared" si="8"/>
        <v/>
      </c>
      <c r="G563" s="7" t="str">
        <f>IF(A563="","",IF(D563=0,"",'Case calculations'!X191))</f>
        <v/>
      </c>
      <c r="H563" s="1" t="str">
        <f>IF(A563="","",IF(D563=0,"NO PATH",IF(G563&lt;Assumptions!$B$5,"BEFORE AS-OF",IF(G563&gt;=Assumptions!$B$7,"BEYOND HORIZON","IN HORIZON"))))</f>
        <v/>
      </c>
    </row>
    <row r="564" spans="1:8" ht="22" customHeight="1">
      <c r="A564" s="1" t="str">
        <f>IF('Case calculations'!C192&lt;&gt;"OK","",'Case calculations'!A192)</f>
        <v/>
      </c>
      <c r="B564" s="1" t="str">
        <f>IF(A564="","",'Case calculations'!B192)</f>
        <v/>
      </c>
      <c r="C564" s="1" t="str">
        <f>IF(A564="","","INITIAL")</f>
        <v/>
      </c>
      <c r="D564" s="19" t="str">
        <f>IF(A564="","",'Case calculations'!N192)</f>
        <v/>
      </c>
      <c r="E564" s="10" t="str">
        <f>IF(A564="","",Assumptions!$B$28)</f>
        <v/>
      </c>
      <c r="F564" s="10" t="str">
        <f t="shared" si="8"/>
        <v/>
      </c>
      <c r="G564" s="7" t="str">
        <f>IF(A564="","",IF(D564=0,"",'Case calculations'!V192))</f>
        <v/>
      </c>
      <c r="H564" s="1" t="str">
        <f>IF(A564="","",IF(D564=0,"NO PATH",IF(G564&lt;Assumptions!$B$5,"BEFORE AS-OF",IF(G564&gt;=Assumptions!$B$7,"BEYOND HORIZON","IN HORIZON"))))</f>
        <v/>
      </c>
    </row>
    <row r="565" spans="1:8" ht="22" customHeight="1">
      <c r="A565" s="1" t="str">
        <f>IF('Case calculations'!C192&lt;&gt;"OK","",'Case calculations'!A192)</f>
        <v/>
      </c>
      <c r="B565" s="1" t="str">
        <f>IF(A565="","",'Case calculations'!B192)</f>
        <v/>
      </c>
      <c r="C565" s="1" t="str">
        <f>IF(A565="","","RECON")</f>
        <v/>
      </c>
      <c r="D565" s="19" t="str">
        <f>IF(A565="","",'Case calculations'!O192)</f>
        <v/>
      </c>
      <c r="E565" s="10" t="str">
        <f>IF(A565="","",Assumptions!$B$29)</f>
        <v/>
      </c>
      <c r="F565" s="10" t="str">
        <f t="shared" si="8"/>
        <v/>
      </c>
      <c r="G565" s="7" t="str">
        <f>IF(A565="","",IF(D565=0,"",'Case calculations'!W192))</f>
        <v/>
      </c>
      <c r="H565" s="1" t="str">
        <f>IF(A565="","",IF(D565=0,"NO PATH",IF(G565&lt;Assumptions!$B$5,"BEFORE AS-OF",IF(G565&gt;=Assumptions!$B$7,"BEYOND HORIZON","IN HORIZON"))))</f>
        <v/>
      </c>
    </row>
    <row r="566" spans="1:8" ht="22" customHeight="1">
      <c r="A566" s="1" t="str">
        <f>IF('Case calculations'!C192&lt;&gt;"OK","",'Case calculations'!A192)</f>
        <v/>
      </c>
      <c r="B566" s="1" t="str">
        <f>IF(A566="","",'Case calculations'!B192)</f>
        <v/>
      </c>
      <c r="C566" s="1" t="str">
        <f>IF(A566="","","HEARING")</f>
        <v/>
      </c>
      <c r="D566" s="19" t="str">
        <f>IF(A566="","",'Case calculations'!S192)</f>
        <v/>
      </c>
      <c r="E566" s="10" t="str">
        <f>IF(A566="","",Assumptions!$B$30)</f>
        <v/>
      </c>
      <c r="F566" s="10" t="str">
        <f t="shared" si="8"/>
        <v/>
      </c>
      <c r="G566" s="7" t="str">
        <f>IF(A566="","",IF(D566=0,"",'Case calculations'!X192))</f>
        <v/>
      </c>
      <c r="H566" s="1" t="str">
        <f>IF(A566="","",IF(D566=0,"NO PATH",IF(G566&lt;Assumptions!$B$5,"BEFORE AS-OF",IF(G566&gt;=Assumptions!$B$7,"BEYOND HORIZON","IN HORIZON"))))</f>
        <v/>
      </c>
    </row>
    <row r="567" spans="1:8" ht="22" customHeight="1">
      <c r="A567" s="1" t="str">
        <f>IF('Case calculations'!C193&lt;&gt;"OK","",'Case calculations'!A193)</f>
        <v/>
      </c>
      <c r="B567" s="1" t="str">
        <f>IF(A567="","",'Case calculations'!B193)</f>
        <v/>
      </c>
      <c r="C567" s="1" t="str">
        <f>IF(A567="","","INITIAL")</f>
        <v/>
      </c>
      <c r="D567" s="19" t="str">
        <f>IF(A567="","",'Case calculations'!N193)</f>
        <v/>
      </c>
      <c r="E567" s="10" t="str">
        <f>IF(A567="","",Assumptions!$B$28)</f>
        <v/>
      </c>
      <c r="F567" s="10" t="str">
        <f t="shared" si="8"/>
        <v/>
      </c>
      <c r="G567" s="7" t="str">
        <f>IF(A567="","",IF(D567=0,"",'Case calculations'!V193))</f>
        <v/>
      </c>
      <c r="H567" s="1" t="str">
        <f>IF(A567="","",IF(D567=0,"NO PATH",IF(G567&lt;Assumptions!$B$5,"BEFORE AS-OF",IF(G567&gt;=Assumptions!$B$7,"BEYOND HORIZON","IN HORIZON"))))</f>
        <v/>
      </c>
    </row>
    <row r="568" spans="1:8" ht="22" customHeight="1">
      <c r="A568" s="1" t="str">
        <f>IF('Case calculations'!C193&lt;&gt;"OK","",'Case calculations'!A193)</f>
        <v/>
      </c>
      <c r="B568" s="1" t="str">
        <f>IF(A568="","",'Case calculations'!B193)</f>
        <v/>
      </c>
      <c r="C568" s="1" t="str">
        <f>IF(A568="","","RECON")</f>
        <v/>
      </c>
      <c r="D568" s="19" t="str">
        <f>IF(A568="","",'Case calculations'!O193)</f>
        <v/>
      </c>
      <c r="E568" s="10" t="str">
        <f>IF(A568="","",Assumptions!$B$29)</f>
        <v/>
      </c>
      <c r="F568" s="10" t="str">
        <f t="shared" si="8"/>
        <v/>
      </c>
      <c r="G568" s="7" t="str">
        <f>IF(A568="","",IF(D568=0,"",'Case calculations'!W193))</f>
        <v/>
      </c>
      <c r="H568" s="1" t="str">
        <f>IF(A568="","",IF(D568=0,"NO PATH",IF(G568&lt;Assumptions!$B$5,"BEFORE AS-OF",IF(G568&gt;=Assumptions!$B$7,"BEYOND HORIZON","IN HORIZON"))))</f>
        <v/>
      </c>
    </row>
    <row r="569" spans="1:8" ht="22" customHeight="1">
      <c r="A569" s="1" t="str">
        <f>IF('Case calculations'!C193&lt;&gt;"OK","",'Case calculations'!A193)</f>
        <v/>
      </c>
      <c r="B569" s="1" t="str">
        <f>IF(A569="","",'Case calculations'!B193)</f>
        <v/>
      </c>
      <c r="C569" s="1" t="str">
        <f>IF(A569="","","HEARING")</f>
        <v/>
      </c>
      <c r="D569" s="19" t="str">
        <f>IF(A569="","",'Case calculations'!S193)</f>
        <v/>
      </c>
      <c r="E569" s="10" t="str">
        <f>IF(A569="","",Assumptions!$B$30)</f>
        <v/>
      </c>
      <c r="F569" s="10" t="str">
        <f t="shared" si="8"/>
        <v/>
      </c>
      <c r="G569" s="7" t="str">
        <f>IF(A569="","",IF(D569=0,"",'Case calculations'!X193))</f>
        <v/>
      </c>
      <c r="H569" s="1" t="str">
        <f>IF(A569="","",IF(D569=0,"NO PATH",IF(G569&lt;Assumptions!$B$5,"BEFORE AS-OF",IF(G569&gt;=Assumptions!$B$7,"BEYOND HORIZON","IN HORIZON"))))</f>
        <v/>
      </c>
    </row>
    <row r="570" spans="1:8" ht="22" customHeight="1">
      <c r="A570" s="1" t="str">
        <f>IF('Case calculations'!C194&lt;&gt;"OK","",'Case calculations'!A194)</f>
        <v/>
      </c>
      <c r="B570" s="1" t="str">
        <f>IF(A570="","",'Case calculations'!B194)</f>
        <v/>
      </c>
      <c r="C570" s="1" t="str">
        <f>IF(A570="","","INITIAL")</f>
        <v/>
      </c>
      <c r="D570" s="19" t="str">
        <f>IF(A570="","",'Case calculations'!N194)</f>
        <v/>
      </c>
      <c r="E570" s="10" t="str">
        <f>IF(A570="","",Assumptions!$B$28)</f>
        <v/>
      </c>
      <c r="F570" s="10" t="str">
        <f t="shared" si="8"/>
        <v/>
      </c>
      <c r="G570" s="7" t="str">
        <f>IF(A570="","",IF(D570=0,"",'Case calculations'!V194))</f>
        <v/>
      </c>
      <c r="H570" s="1" t="str">
        <f>IF(A570="","",IF(D570=0,"NO PATH",IF(G570&lt;Assumptions!$B$5,"BEFORE AS-OF",IF(G570&gt;=Assumptions!$B$7,"BEYOND HORIZON","IN HORIZON"))))</f>
        <v/>
      </c>
    </row>
    <row r="571" spans="1:8" ht="22" customHeight="1">
      <c r="A571" s="1" t="str">
        <f>IF('Case calculations'!C194&lt;&gt;"OK","",'Case calculations'!A194)</f>
        <v/>
      </c>
      <c r="B571" s="1" t="str">
        <f>IF(A571="","",'Case calculations'!B194)</f>
        <v/>
      </c>
      <c r="C571" s="1" t="str">
        <f>IF(A571="","","RECON")</f>
        <v/>
      </c>
      <c r="D571" s="19" t="str">
        <f>IF(A571="","",'Case calculations'!O194)</f>
        <v/>
      </c>
      <c r="E571" s="10" t="str">
        <f>IF(A571="","",Assumptions!$B$29)</f>
        <v/>
      </c>
      <c r="F571" s="10" t="str">
        <f t="shared" si="8"/>
        <v/>
      </c>
      <c r="G571" s="7" t="str">
        <f>IF(A571="","",IF(D571=0,"",'Case calculations'!W194))</f>
        <v/>
      </c>
      <c r="H571" s="1" t="str">
        <f>IF(A571="","",IF(D571=0,"NO PATH",IF(G571&lt;Assumptions!$B$5,"BEFORE AS-OF",IF(G571&gt;=Assumptions!$B$7,"BEYOND HORIZON","IN HORIZON"))))</f>
        <v/>
      </c>
    </row>
    <row r="572" spans="1:8" ht="22" customHeight="1">
      <c r="A572" s="1" t="str">
        <f>IF('Case calculations'!C194&lt;&gt;"OK","",'Case calculations'!A194)</f>
        <v/>
      </c>
      <c r="B572" s="1" t="str">
        <f>IF(A572="","",'Case calculations'!B194)</f>
        <v/>
      </c>
      <c r="C572" s="1" t="str">
        <f>IF(A572="","","HEARING")</f>
        <v/>
      </c>
      <c r="D572" s="19" t="str">
        <f>IF(A572="","",'Case calculations'!S194)</f>
        <v/>
      </c>
      <c r="E572" s="10" t="str">
        <f>IF(A572="","",Assumptions!$B$30)</f>
        <v/>
      </c>
      <c r="F572" s="10" t="str">
        <f t="shared" si="8"/>
        <v/>
      </c>
      <c r="G572" s="7" t="str">
        <f>IF(A572="","",IF(D572=0,"",'Case calculations'!X194))</f>
        <v/>
      </c>
      <c r="H572" s="1" t="str">
        <f>IF(A572="","",IF(D572=0,"NO PATH",IF(G572&lt;Assumptions!$B$5,"BEFORE AS-OF",IF(G572&gt;=Assumptions!$B$7,"BEYOND HORIZON","IN HORIZON"))))</f>
        <v/>
      </c>
    </row>
    <row r="573" spans="1:8" ht="22" customHeight="1">
      <c r="A573" s="1" t="str">
        <f>IF('Case calculations'!C195&lt;&gt;"OK","",'Case calculations'!A195)</f>
        <v/>
      </c>
      <c r="B573" s="1" t="str">
        <f>IF(A573="","",'Case calculations'!B195)</f>
        <v/>
      </c>
      <c r="C573" s="1" t="str">
        <f>IF(A573="","","INITIAL")</f>
        <v/>
      </c>
      <c r="D573" s="19" t="str">
        <f>IF(A573="","",'Case calculations'!N195)</f>
        <v/>
      </c>
      <c r="E573" s="10" t="str">
        <f>IF(A573="","",Assumptions!$B$28)</f>
        <v/>
      </c>
      <c r="F573" s="10" t="str">
        <f t="shared" si="8"/>
        <v/>
      </c>
      <c r="G573" s="7" t="str">
        <f>IF(A573="","",IF(D573=0,"",'Case calculations'!V195))</f>
        <v/>
      </c>
      <c r="H573" s="1" t="str">
        <f>IF(A573="","",IF(D573=0,"NO PATH",IF(G573&lt;Assumptions!$B$5,"BEFORE AS-OF",IF(G573&gt;=Assumptions!$B$7,"BEYOND HORIZON","IN HORIZON"))))</f>
        <v/>
      </c>
    </row>
    <row r="574" spans="1:8" ht="22" customHeight="1">
      <c r="A574" s="1" t="str">
        <f>IF('Case calculations'!C195&lt;&gt;"OK","",'Case calculations'!A195)</f>
        <v/>
      </c>
      <c r="B574" s="1" t="str">
        <f>IF(A574="","",'Case calculations'!B195)</f>
        <v/>
      </c>
      <c r="C574" s="1" t="str">
        <f>IF(A574="","","RECON")</f>
        <v/>
      </c>
      <c r="D574" s="19" t="str">
        <f>IF(A574="","",'Case calculations'!O195)</f>
        <v/>
      </c>
      <c r="E574" s="10" t="str">
        <f>IF(A574="","",Assumptions!$B$29)</f>
        <v/>
      </c>
      <c r="F574" s="10" t="str">
        <f t="shared" si="8"/>
        <v/>
      </c>
      <c r="G574" s="7" t="str">
        <f>IF(A574="","",IF(D574=0,"",'Case calculations'!W195))</f>
        <v/>
      </c>
      <c r="H574" s="1" t="str">
        <f>IF(A574="","",IF(D574=0,"NO PATH",IF(G574&lt;Assumptions!$B$5,"BEFORE AS-OF",IF(G574&gt;=Assumptions!$B$7,"BEYOND HORIZON","IN HORIZON"))))</f>
        <v/>
      </c>
    </row>
    <row r="575" spans="1:8" ht="22" customHeight="1">
      <c r="A575" s="1" t="str">
        <f>IF('Case calculations'!C195&lt;&gt;"OK","",'Case calculations'!A195)</f>
        <v/>
      </c>
      <c r="B575" s="1" t="str">
        <f>IF(A575="","",'Case calculations'!B195)</f>
        <v/>
      </c>
      <c r="C575" s="1" t="str">
        <f>IF(A575="","","HEARING")</f>
        <v/>
      </c>
      <c r="D575" s="19" t="str">
        <f>IF(A575="","",'Case calculations'!S195)</f>
        <v/>
      </c>
      <c r="E575" s="10" t="str">
        <f>IF(A575="","",Assumptions!$B$30)</f>
        <v/>
      </c>
      <c r="F575" s="10" t="str">
        <f t="shared" si="8"/>
        <v/>
      </c>
      <c r="G575" s="7" t="str">
        <f>IF(A575="","",IF(D575=0,"",'Case calculations'!X195))</f>
        <v/>
      </c>
      <c r="H575" s="1" t="str">
        <f>IF(A575="","",IF(D575=0,"NO PATH",IF(G575&lt;Assumptions!$B$5,"BEFORE AS-OF",IF(G575&gt;=Assumptions!$B$7,"BEYOND HORIZON","IN HORIZON"))))</f>
        <v/>
      </c>
    </row>
    <row r="576" spans="1:8" ht="22" customHeight="1">
      <c r="A576" s="1" t="str">
        <f>IF('Case calculations'!C196&lt;&gt;"OK","",'Case calculations'!A196)</f>
        <v/>
      </c>
      <c r="B576" s="1" t="str">
        <f>IF(A576="","",'Case calculations'!B196)</f>
        <v/>
      </c>
      <c r="C576" s="1" t="str">
        <f>IF(A576="","","INITIAL")</f>
        <v/>
      </c>
      <c r="D576" s="19" t="str">
        <f>IF(A576="","",'Case calculations'!N196)</f>
        <v/>
      </c>
      <c r="E576" s="10" t="str">
        <f>IF(A576="","",Assumptions!$B$28)</f>
        <v/>
      </c>
      <c r="F576" s="10" t="str">
        <f t="shared" si="8"/>
        <v/>
      </c>
      <c r="G576" s="7" t="str">
        <f>IF(A576="","",IF(D576=0,"",'Case calculations'!V196))</f>
        <v/>
      </c>
      <c r="H576" s="1" t="str">
        <f>IF(A576="","",IF(D576=0,"NO PATH",IF(G576&lt;Assumptions!$B$5,"BEFORE AS-OF",IF(G576&gt;=Assumptions!$B$7,"BEYOND HORIZON","IN HORIZON"))))</f>
        <v/>
      </c>
    </row>
    <row r="577" spans="1:8" ht="22" customHeight="1">
      <c r="A577" s="1" t="str">
        <f>IF('Case calculations'!C196&lt;&gt;"OK","",'Case calculations'!A196)</f>
        <v/>
      </c>
      <c r="B577" s="1" t="str">
        <f>IF(A577="","",'Case calculations'!B196)</f>
        <v/>
      </c>
      <c r="C577" s="1" t="str">
        <f>IF(A577="","","RECON")</f>
        <v/>
      </c>
      <c r="D577" s="19" t="str">
        <f>IF(A577="","",'Case calculations'!O196)</f>
        <v/>
      </c>
      <c r="E577" s="10" t="str">
        <f>IF(A577="","",Assumptions!$B$29)</f>
        <v/>
      </c>
      <c r="F577" s="10" t="str">
        <f t="shared" si="8"/>
        <v/>
      </c>
      <c r="G577" s="7" t="str">
        <f>IF(A577="","",IF(D577=0,"",'Case calculations'!W196))</f>
        <v/>
      </c>
      <c r="H577" s="1" t="str">
        <f>IF(A577="","",IF(D577=0,"NO PATH",IF(G577&lt;Assumptions!$B$5,"BEFORE AS-OF",IF(G577&gt;=Assumptions!$B$7,"BEYOND HORIZON","IN HORIZON"))))</f>
        <v/>
      </c>
    </row>
    <row r="578" spans="1:8" ht="22" customHeight="1">
      <c r="A578" s="1" t="str">
        <f>IF('Case calculations'!C196&lt;&gt;"OK","",'Case calculations'!A196)</f>
        <v/>
      </c>
      <c r="B578" s="1" t="str">
        <f>IF(A578="","",'Case calculations'!B196)</f>
        <v/>
      </c>
      <c r="C578" s="1" t="str">
        <f>IF(A578="","","HEARING")</f>
        <v/>
      </c>
      <c r="D578" s="19" t="str">
        <f>IF(A578="","",'Case calculations'!S196)</f>
        <v/>
      </c>
      <c r="E578" s="10" t="str">
        <f>IF(A578="","",Assumptions!$B$30)</f>
        <v/>
      </c>
      <c r="F578" s="10" t="str">
        <f t="shared" si="8"/>
        <v/>
      </c>
      <c r="G578" s="7" t="str">
        <f>IF(A578="","",IF(D578=0,"",'Case calculations'!X196))</f>
        <v/>
      </c>
      <c r="H578" s="1" t="str">
        <f>IF(A578="","",IF(D578=0,"NO PATH",IF(G578&lt;Assumptions!$B$5,"BEFORE AS-OF",IF(G578&gt;=Assumptions!$B$7,"BEYOND HORIZON","IN HORIZON"))))</f>
        <v/>
      </c>
    </row>
    <row r="579" spans="1:8" ht="22" customHeight="1">
      <c r="A579" s="1" t="str">
        <f>IF('Case calculations'!C197&lt;&gt;"OK","",'Case calculations'!A197)</f>
        <v/>
      </c>
      <c r="B579" s="1" t="str">
        <f>IF(A579="","",'Case calculations'!B197)</f>
        <v/>
      </c>
      <c r="C579" s="1" t="str">
        <f>IF(A579="","","INITIAL")</f>
        <v/>
      </c>
      <c r="D579" s="19" t="str">
        <f>IF(A579="","",'Case calculations'!N197)</f>
        <v/>
      </c>
      <c r="E579" s="10" t="str">
        <f>IF(A579="","",Assumptions!$B$28)</f>
        <v/>
      </c>
      <c r="F579" s="10" t="str">
        <f t="shared" si="8"/>
        <v/>
      </c>
      <c r="G579" s="7" t="str">
        <f>IF(A579="","",IF(D579=0,"",'Case calculations'!V197))</f>
        <v/>
      </c>
      <c r="H579" s="1" t="str">
        <f>IF(A579="","",IF(D579=0,"NO PATH",IF(G579&lt;Assumptions!$B$5,"BEFORE AS-OF",IF(G579&gt;=Assumptions!$B$7,"BEYOND HORIZON","IN HORIZON"))))</f>
        <v/>
      </c>
    </row>
    <row r="580" spans="1:8" ht="22" customHeight="1">
      <c r="A580" s="1" t="str">
        <f>IF('Case calculations'!C197&lt;&gt;"OK","",'Case calculations'!A197)</f>
        <v/>
      </c>
      <c r="B580" s="1" t="str">
        <f>IF(A580="","",'Case calculations'!B197)</f>
        <v/>
      </c>
      <c r="C580" s="1" t="str">
        <f>IF(A580="","","RECON")</f>
        <v/>
      </c>
      <c r="D580" s="19" t="str">
        <f>IF(A580="","",'Case calculations'!O197)</f>
        <v/>
      </c>
      <c r="E580" s="10" t="str">
        <f>IF(A580="","",Assumptions!$B$29)</f>
        <v/>
      </c>
      <c r="F580" s="10" t="str">
        <f t="shared" si="8"/>
        <v/>
      </c>
      <c r="G580" s="7" t="str">
        <f>IF(A580="","",IF(D580=0,"",'Case calculations'!W197))</f>
        <v/>
      </c>
      <c r="H580" s="1" t="str">
        <f>IF(A580="","",IF(D580=0,"NO PATH",IF(G580&lt;Assumptions!$B$5,"BEFORE AS-OF",IF(G580&gt;=Assumptions!$B$7,"BEYOND HORIZON","IN HORIZON"))))</f>
        <v/>
      </c>
    </row>
    <row r="581" spans="1:8" ht="22" customHeight="1">
      <c r="A581" s="1" t="str">
        <f>IF('Case calculations'!C197&lt;&gt;"OK","",'Case calculations'!A197)</f>
        <v/>
      </c>
      <c r="B581" s="1" t="str">
        <f>IF(A581="","",'Case calculations'!B197)</f>
        <v/>
      </c>
      <c r="C581" s="1" t="str">
        <f>IF(A581="","","HEARING")</f>
        <v/>
      </c>
      <c r="D581" s="19" t="str">
        <f>IF(A581="","",'Case calculations'!S197)</f>
        <v/>
      </c>
      <c r="E581" s="10" t="str">
        <f>IF(A581="","",Assumptions!$B$30)</f>
        <v/>
      </c>
      <c r="F581" s="10" t="str">
        <f t="shared" si="8"/>
        <v/>
      </c>
      <c r="G581" s="7" t="str">
        <f>IF(A581="","",IF(D581=0,"",'Case calculations'!X197))</f>
        <v/>
      </c>
      <c r="H581" s="1" t="str">
        <f>IF(A581="","",IF(D581=0,"NO PATH",IF(G581&lt;Assumptions!$B$5,"BEFORE AS-OF",IF(G581&gt;=Assumptions!$B$7,"BEYOND HORIZON","IN HORIZON"))))</f>
        <v/>
      </c>
    </row>
    <row r="582" spans="1:8" ht="22" customHeight="1">
      <c r="A582" s="1" t="str">
        <f>IF('Case calculations'!C198&lt;&gt;"OK","",'Case calculations'!A198)</f>
        <v/>
      </c>
      <c r="B582" s="1" t="str">
        <f>IF(A582="","",'Case calculations'!B198)</f>
        <v/>
      </c>
      <c r="C582" s="1" t="str">
        <f>IF(A582="","","INITIAL")</f>
        <v/>
      </c>
      <c r="D582" s="19" t="str">
        <f>IF(A582="","",'Case calculations'!N198)</f>
        <v/>
      </c>
      <c r="E582" s="10" t="str">
        <f>IF(A582="","",Assumptions!$B$28)</f>
        <v/>
      </c>
      <c r="F582" s="10" t="str">
        <f t="shared" ref="F582:F645" si="9">IF(A582="","",D582*E582)</f>
        <v/>
      </c>
      <c r="G582" s="7" t="str">
        <f>IF(A582="","",IF(D582=0,"",'Case calculations'!V198))</f>
        <v/>
      </c>
      <c r="H582" s="1" t="str">
        <f>IF(A582="","",IF(D582=0,"NO PATH",IF(G582&lt;Assumptions!$B$5,"BEFORE AS-OF",IF(G582&gt;=Assumptions!$B$7,"BEYOND HORIZON","IN HORIZON"))))</f>
        <v/>
      </c>
    </row>
    <row r="583" spans="1:8" ht="22" customHeight="1">
      <c r="A583" s="1" t="str">
        <f>IF('Case calculations'!C198&lt;&gt;"OK","",'Case calculations'!A198)</f>
        <v/>
      </c>
      <c r="B583" s="1" t="str">
        <f>IF(A583="","",'Case calculations'!B198)</f>
        <v/>
      </c>
      <c r="C583" s="1" t="str">
        <f>IF(A583="","","RECON")</f>
        <v/>
      </c>
      <c r="D583" s="19" t="str">
        <f>IF(A583="","",'Case calculations'!O198)</f>
        <v/>
      </c>
      <c r="E583" s="10" t="str">
        <f>IF(A583="","",Assumptions!$B$29)</f>
        <v/>
      </c>
      <c r="F583" s="10" t="str">
        <f t="shared" si="9"/>
        <v/>
      </c>
      <c r="G583" s="7" t="str">
        <f>IF(A583="","",IF(D583=0,"",'Case calculations'!W198))</f>
        <v/>
      </c>
      <c r="H583" s="1" t="str">
        <f>IF(A583="","",IF(D583=0,"NO PATH",IF(G583&lt;Assumptions!$B$5,"BEFORE AS-OF",IF(G583&gt;=Assumptions!$B$7,"BEYOND HORIZON","IN HORIZON"))))</f>
        <v/>
      </c>
    </row>
    <row r="584" spans="1:8" ht="22" customHeight="1">
      <c r="A584" s="1" t="str">
        <f>IF('Case calculations'!C198&lt;&gt;"OK","",'Case calculations'!A198)</f>
        <v/>
      </c>
      <c r="B584" s="1" t="str">
        <f>IF(A584="","",'Case calculations'!B198)</f>
        <v/>
      </c>
      <c r="C584" s="1" t="str">
        <f>IF(A584="","","HEARING")</f>
        <v/>
      </c>
      <c r="D584" s="19" t="str">
        <f>IF(A584="","",'Case calculations'!S198)</f>
        <v/>
      </c>
      <c r="E584" s="10" t="str">
        <f>IF(A584="","",Assumptions!$B$30)</f>
        <v/>
      </c>
      <c r="F584" s="10" t="str">
        <f t="shared" si="9"/>
        <v/>
      </c>
      <c r="G584" s="7" t="str">
        <f>IF(A584="","",IF(D584=0,"",'Case calculations'!X198))</f>
        <v/>
      </c>
      <c r="H584" s="1" t="str">
        <f>IF(A584="","",IF(D584=0,"NO PATH",IF(G584&lt;Assumptions!$B$5,"BEFORE AS-OF",IF(G584&gt;=Assumptions!$B$7,"BEYOND HORIZON","IN HORIZON"))))</f>
        <v/>
      </c>
    </row>
    <row r="585" spans="1:8" ht="22" customHeight="1">
      <c r="A585" s="1" t="str">
        <f>IF('Case calculations'!C199&lt;&gt;"OK","",'Case calculations'!A199)</f>
        <v/>
      </c>
      <c r="B585" s="1" t="str">
        <f>IF(A585="","",'Case calculations'!B199)</f>
        <v/>
      </c>
      <c r="C585" s="1" t="str">
        <f>IF(A585="","","INITIAL")</f>
        <v/>
      </c>
      <c r="D585" s="19" t="str">
        <f>IF(A585="","",'Case calculations'!N199)</f>
        <v/>
      </c>
      <c r="E585" s="10" t="str">
        <f>IF(A585="","",Assumptions!$B$28)</f>
        <v/>
      </c>
      <c r="F585" s="10" t="str">
        <f t="shared" si="9"/>
        <v/>
      </c>
      <c r="G585" s="7" t="str">
        <f>IF(A585="","",IF(D585=0,"",'Case calculations'!V199))</f>
        <v/>
      </c>
      <c r="H585" s="1" t="str">
        <f>IF(A585="","",IF(D585=0,"NO PATH",IF(G585&lt;Assumptions!$B$5,"BEFORE AS-OF",IF(G585&gt;=Assumptions!$B$7,"BEYOND HORIZON","IN HORIZON"))))</f>
        <v/>
      </c>
    </row>
    <row r="586" spans="1:8" ht="22" customHeight="1">
      <c r="A586" s="1" t="str">
        <f>IF('Case calculations'!C199&lt;&gt;"OK","",'Case calculations'!A199)</f>
        <v/>
      </c>
      <c r="B586" s="1" t="str">
        <f>IF(A586="","",'Case calculations'!B199)</f>
        <v/>
      </c>
      <c r="C586" s="1" t="str">
        <f>IF(A586="","","RECON")</f>
        <v/>
      </c>
      <c r="D586" s="19" t="str">
        <f>IF(A586="","",'Case calculations'!O199)</f>
        <v/>
      </c>
      <c r="E586" s="10" t="str">
        <f>IF(A586="","",Assumptions!$B$29)</f>
        <v/>
      </c>
      <c r="F586" s="10" t="str">
        <f t="shared" si="9"/>
        <v/>
      </c>
      <c r="G586" s="7" t="str">
        <f>IF(A586="","",IF(D586=0,"",'Case calculations'!W199))</f>
        <v/>
      </c>
      <c r="H586" s="1" t="str">
        <f>IF(A586="","",IF(D586=0,"NO PATH",IF(G586&lt;Assumptions!$B$5,"BEFORE AS-OF",IF(G586&gt;=Assumptions!$B$7,"BEYOND HORIZON","IN HORIZON"))))</f>
        <v/>
      </c>
    </row>
    <row r="587" spans="1:8" ht="22" customHeight="1">
      <c r="A587" s="1" t="str">
        <f>IF('Case calculations'!C199&lt;&gt;"OK","",'Case calculations'!A199)</f>
        <v/>
      </c>
      <c r="B587" s="1" t="str">
        <f>IF(A587="","",'Case calculations'!B199)</f>
        <v/>
      </c>
      <c r="C587" s="1" t="str">
        <f>IF(A587="","","HEARING")</f>
        <v/>
      </c>
      <c r="D587" s="19" t="str">
        <f>IF(A587="","",'Case calculations'!S199)</f>
        <v/>
      </c>
      <c r="E587" s="10" t="str">
        <f>IF(A587="","",Assumptions!$B$30)</f>
        <v/>
      </c>
      <c r="F587" s="10" t="str">
        <f t="shared" si="9"/>
        <v/>
      </c>
      <c r="G587" s="7" t="str">
        <f>IF(A587="","",IF(D587=0,"",'Case calculations'!X199))</f>
        <v/>
      </c>
      <c r="H587" s="1" t="str">
        <f>IF(A587="","",IF(D587=0,"NO PATH",IF(G587&lt;Assumptions!$B$5,"BEFORE AS-OF",IF(G587&gt;=Assumptions!$B$7,"BEYOND HORIZON","IN HORIZON"))))</f>
        <v/>
      </c>
    </row>
    <row r="588" spans="1:8" ht="22" customHeight="1">
      <c r="A588" s="1" t="str">
        <f>IF('Case calculations'!C200&lt;&gt;"OK","",'Case calculations'!A200)</f>
        <v/>
      </c>
      <c r="B588" s="1" t="str">
        <f>IF(A588="","",'Case calculations'!B200)</f>
        <v/>
      </c>
      <c r="C588" s="1" t="str">
        <f>IF(A588="","","INITIAL")</f>
        <v/>
      </c>
      <c r="D588" s="19" t="str">
        <f>IF(A588="","",'Case calculations'!N200)</f>
        <v/>
      </c>
      <c r="E588" s="10" t="str">
        <f>IF(A588="","",Assumptions!$B$28)</f>
        <v/>
      </c>
      <c r="F588" s="10" t="str">
        <f t="shared" si="9"/>
        <v/>
      </c>
      <c r="G588" s="7" t="str">
        <f>IF(A588="","",IF(D588=0,"",'Case calculations'!V200))</f>
        <v/>
      </c>
      <c r="H588" s="1" t="str">
        <f>IF(A588="","",IF(D588=0,"NO PATH",IF(G588&lt;Assumptions!$B$5,"BEFORE AS-OF",IF(G588&gt;=Assumptions!$B$7,"BEYOND HORIZON","IN HORIZON"))))</f>
        <v/>
      </c>
    </row>
    <row r="589" spans="1:8" ht="22" customHeight="1">
      <c r="A589" s="1" t="str">
        <f>IF('Case calculations'!C200&lt;&gt;"OK","",'Case calculations'!A200)</f>
        <v/>
      </c>
      <c r="B589" s="1" t="str">
        <f>IF(A589="","",'Case calculations'!B200)</f>
        <v/>
      </c>
      <c r="C589" s="1" t="str">
        <f>IF(A589="","","RECON")</f>
        <v/>
      </c>
      <c r="D589" s="19" t="str">
        <f>IF(A589="","",'Case calculations'!O200)</f>
        <v/>
      </c>
      <c r="E589" s="10" t="str">
        <f>IF(A589="","",Assumptions!$B$29)</f>
        <v/>
      </c>
      <c r="F589" s="10" t="str">
        <f t="shared" si="9"/>
        <v/>
      </c>
      <c r="G589" s="7" t="str">
        <f>IF(A589="","",IF(D589=0,"",'Case calculations'!W200))</f>
        <v/>
      </c>
      <c r="H589" s="1" t="str">
        <f>IF(A589="","",IF(D589=0,"NO PATH",IF(G589&lt;Assumptions!$B$5,"BEFORE AS-OF",IF(G589&gt;=Assumptions!$B$7,"BEYOND HORIZON","IN HORIZON"))))</f>
        <v/>
      </c>
    </row>
    <row r="590" spans="1:8" ht="22" customHeight="1">
      <c r="A590" s="1" t="str">
        <f>IF('Case calculations'!C200&lt;&gt;"OK","",'Case calculations'!A200)</f>
        <v/>
      </c>
      <c r="B590" s="1" t="str">
        <f>IF(A590="","",'Case calculations'!B200)</f>
        <v/>
      </c>
      <c r="C590" s="1" t="str">
        <f>IF(A590="","","HEARING")</f>
        <v/>
      </c>
      <c r="D590" s="19" t="str">
        <f>IF(A590="","",'Case calculations'!S200)</f>
        <v/>
      </c>
      <c r="E590" s="10" t="str">
        <f>IF(A590="","",Assumptions!$B$30)</f>
        <v/>
      </c>
      <c r="F590" s="10" t="str">
        <f t="shared" si="9"/>
        <v/>
      </c>
      <c r="G590" s="7" t="str">
        <f>IF(A590="","",IF(D590=0,"",'Case calculations'!X200))</f>
        <v/>
      </c>
      <c r="H590" s="1" t="str">
        <f>IF(A590="","",IF(D590=0,"NO PATH",IF(G590&lt;Assumptions!$B$5,"BEFORE AS-OF",IF(G590&gt;=Assumptions!$B$7,"BEYOND HORIZON","IN HORIZON"))))</f>
        <v/>
      </c>
    </row>
    <row r="591" spans="1:8" ht="22" customHeight="1">
      <c r="A591" s="1" t="str">
        <f>IF('Case calculations'!C201&lt;&gt;"OK","",'Case calculations'!A201)</f>
        <v/>
      </c>
      <c r="B591" s="1" t="str">
        <f>IF(A591="","",'Case calculations'!B201)</f>
        <v/>
      </c>
      <c r="C591" s="1" t="str">
        <f>IF(A591="","","INITIAL")</f>
        <v/>
      </c>
      <c r="D591" s="19" t="str">
        <f>IF(A591="","",'Case calculations'!N201)</f>
        <v/>
      </c>
      <c r="E591" s="10" t="str">
        <f>IF(A591="","",Assumptions!$B$28)</f>
        <v/>
      </c>
      <c r="F591" s="10" t="str">
        <f t="shared" si="9"/>
        <v/>
      </c>
      <c r="G591" s="7" t="str">
        <f>IF(A591="","",IF(D591=0,"",'Case calculations'!V201))</f>
        <v/>
      </c>
      <c r="H591" s="1" t="str">
        <f>IF(A591="","",IF(D591=0,"NO PATH",IF(G591&lt;Assumptions!$B$5,"BEFORE AS-OF",IF(G591&gt;=Assumptions!$B$7,"BEYOND HORIZON","IN HORIZON"))))</f>
        <v/>
      </c>
    </row>
    <row r="592" spans="1:8" ht="22" customHeight="1">
      <c r="A592" s="1" t="str">
        <f>IF('Case calculations'!C201&lt;&gt;"OK","",'Case calculations'!A201)</f>
        <v/>
      </c>
      <c r="B592" s="1" t="str">
        <f>IF(A592="","",'Case calculations'!B201)</f>
        <v/>
      </c>
      <c r="C592" s="1" t="str">
        <f>IF(A592="","","RECON")</f>
        <v/>
      </c>
      <c r="D592" s="19" t="str">
        <f>IF(A592="","",'Case calculations'!O201)</f>
        <v/>
      </c>
      <c r="E592" s="10" t="str">
        <f>IF(A592="","",Assumptions!$B$29)</f>
        <v/>
      </c>
      <c r="F592" s="10" t="str">
        <f t="shared" si="9"/>
        <v/>
      </c>
      <c r="G592" s="7" t="str">
        <f>IF(A592="","",IF(D592=0,"",'Case calculations'!W201))</f>
        <v/>
      </c>
      <c r="H592" s="1" t="str">
        <f>IF(A592="","",IF(D592=0,"NO PATH",IF(G592&lt;Assumptions!$B$5,"BEFORE AS-OF",IF(G592&gt;=Assumptions!$B$7,"BEYOND HORIZON","IN HORIZON"))))</f>
        <v/>
      </c>
    </row>
    <row r="593" spans="1:8" ht="22" customHeight="1">
      <c r="A593" s="1" t="str">
        <f>IF('Case calculations'!C201&lt;&gt;"OK","",'Case calculations'!A201)</f>
        <v/>
      </c>
      <c r="B593" s="1" t="str">
        <f>IF(A593="","",'Case calculations'!B201)</f>
        <v/>
      </c>
      <c r="C593" s="1" t="str">
        <f>IF(A593="","","HEARING")</f>
        <v/>
      </c>
      <c r="D593" s="19" t="str">
        <f>IF(A593="","",'Case calculations'!S201)</f>
        <v/>
      </c>
      <c r="E593" s="10" t="str">
        <f>IF(A593="","",Assumptions!$B$30)</f>
        <v/>
      </c>
      <c r="F593" s="10" t="str">
        <f t="shared" si="9"/>
        <v/>
      </c>
      <c r="G593" s="7" t="str">
        <f>IF(A593="","",IF(D593=0,"",'Case calculations'!X201))</f>
        <v/>
      </c>
      <c r="H593" s="1" t="str">
        <f>IF(A593="","",IF(D593=0,"NO PATH",IF(G593&lt;Assumptions!$B$5,"BEFORE AS-OF",IF(G593&gt;=Assumptions!$B$7,"BEYOND HORIZON","IN HORIZON"))))</f>
        <v/>
      </c>
    </row>
    <row r="594" spans="1:8" ht="22" customHeight="1">
      <c r="A594" s="1" t="str">
        <f>IF('Case calculations'!C202&lt;&gt;"OK","",'Case calculations'!A202)</f>
        <v/>
      </c>
      <c r="B594" s="1" t="str">
        <f>IF(A594="","",'Case calculations'!B202)</f>
        <v/>
      </c>
      <c r="C594" s="1" t="str">
        <f>IF(A594="","","INITIAL")</f>
        <v/>
      </c>
      <c r="D594" s="19" t="str">
        <f>IF(A594="","",'Case calculations'!N202)</f>
        <v/>
      </c>
      <c r="E594" s="10" t="str">
        <f>IF(A594="","",Assumptions!$B$28)</f>
        <v/>
      </c>
      <c r="F594" s="10" t="str">
        <f t="shared" si="9"/>
        <v/>
      </c>
      <c r="G594" s="7" t="str">
        <f>IF(A594="","",IF(D594=0,"",'Case calculations'!V202))</f>
        <v/>
      </c>
      <c r="H594" s="1" t="str">
        <f>IF(A594="","",IF(D594=0,"NO PATH",IF(G594&lt;Assumptions!$B$5,"BEFORE AS-OF",IF(G594&gt;=Assumptions!$B$7,"BEYOND HORIZON","IN HORIZON"))))</f>
        <v/>
      </c>
    </row>
    <row r="595" spans="1:8" ht="22" customHeight="1">
      <c r="A595" s="1" t="str">
        <f>IF('Case calculations'!C202&lt;&gt;"OK","",'Case calculations'!A202)</f>
        <v/>
      </c>
      <c r="B595" s="1" t="str">
        <f>IF(A595="","",'Case calculations'!B202)</f>
        <v/>
      </c>
      <c r="C595" s="1" t="str">
        <f>IF(A595="","","RECON")</f>
        <v/>
      </c>
      <c r="D595" s="19" t="str">
        <f>IF(A595="","",'Case calculations'!O202)</f>
        <v/>
      </c>
      <c r="E595" s="10" t="str">
        <f>IF(A595="","",Assumptions!$B$29)</f>
        <v/>
      </c>
      <c r="F595" s="10" t="str">
        <f t="shared" si="9"/>
        <v/>
      </c>
      <c r="G595" s="7" t="str">
        <f>IF(A595="","",IF(D595=0,"",'Case calculations'!W202))</f>
        <v/>
      </c>
      <c r="H595" s="1" t="str">
        <f>IF(A595="","",IF(D595=0,"NO PATH",IF(G595&lt;Assumptions!$B$5,"BEFORE AS-OF",IF(G595&gt;=Assumptions!$B$7,"BEYOND HORIZON","IN HORIZON"))))</f>
        <v/>
      </c>
    </row>
    <row r="596" spans="1:8" ht="22" customHeight="1">
      <c r="A596" s="1" t="str">
        <f>IF('Case calculations'!C202&lt;&gt;"OK","",'Case calculations'!A202)</f>
        <v/>
      </c>
      <c r="B596" s="1" t="str">
        <f>IF(A596="","",'Case calculations'!B202)</f>
        <v/>
      </c>
      <c r="C596" s="1" t="str">
        <f>IF(A596="","","HEARING")</f>
        <v/>
      </c>
      <c r="D596" s="19" t="str">
        <f>IF(A596="","",'Case calculations'!S202)</f>
        <v/>
      </c>
      <c r="E596" s="10" t="str">
        <f>IF(A596="","",Assumptions!$B$30)</f>
        <v/>
      </c>
      <c r="F596" s="10" t="str">
        <f t="shared" si="9"/>
        <v/>
      </c>
      <c r="G596" s="7" t="str">
        <f>IF(A596="","",IF(D596=0,"",'Case calculations'!X202))</f>
        <v/>
      </c>
      <c r="H596" s="1" t="str">
        <f>IF(A596="","",IF(D596=0,"NO PATH",IF(G596&lt;Assumptions!$B$5,"BEFORE AS-OF",IF(G596&gt;=Assumptions!$B$7,"BEYOND HORIZON","IN HORIZON"))))</f>
        <v/>
      </c>
    </row>
    <row r="597" spans="1:8" ht="22" customHeight="1">
      <c r="A597" s="1" t="str">
        <f>IF('Case calculations'!C203&lt;&gt;"OK","",'Case calculations'!A203)</f>
        <v/>
      </c>
      <c r="B597" s="1" t="str">
        <f>IF(A597="","",'Case calculations'!B203)</f>
        <v/>
      </c>
      <c r="C597" s="1" t="str">
        <f>IF(A597="","","INITIAL")</f>
        <v/>
      </c>
      <c r="D597" s="19" t="str">
        <f>IF(A597="","",'Case calculations'!N203)</f>
        <v/>
      </c>
      <c r="E597" s="10" t="str">
        <f>IF(A597="","",Assumptions!$B$28)</f>
        <v/>
      </c>
      <c r="F597" s="10" t="str">
        <f t="shared" si="9"/>
        <v/>
      </c>
      <c r="G597" s="7" t="str">
        <f>IF(A597="","",IF(D597=0,"",'Case calculations'!V203))</f>
        <v/>
      </c>
      <c r="H597" s="1" t="str">
        <f>IF(A597="","",IF(D597=0,"NO PATH",IF(G597&lt;Assumptions!$B$5,"BEFORE AS-OF",IF(G597&gt;=Assumptions!$B$7,"BEYOND HORIZON","IN HORIZON"))))</f>
        <v/>
      </c>
    </row>
    <row r="598" spans="1:8" ht="22" customHeight="1">
      <c r="A598" s="1" t="str">
        <f>IF('Case calculations'!C203&lt;&gt;"OK","",'Case calculations'!A203)</f>
        <v/>
      </c>
      <c r="B598" s="1" t="str">
        <f>IF(A598="","",'Case calculations'!B203)</f>
        <v/>
      </c>
      <c r="C598" s="1" t="str">
        <f>IF(A598="","","RECON")</f>
        <v/>
      </c>
      <c r="D598" s="19" t="str">
        <f>IF(A598="","",'Case calculations'!O203)</f>
        <v/>
      </c>
      <c r="E598" s="10" t="str">
        <f>IF(A598="","",Assumptions!$B$29)</f>
        <v/>
      </c>
      <c r="F598" s="10" t="str">
        <f t="shared" si="9"/>
        <v/>
      </c>
      <c r="G598" s="7" t="str">
        <f>IF(A598="","",IF(D598=0,"",'Case calculations'!W203))</f>
        <v/>
      </c>
      <c r="H598" s="1" t="str">
        <f>IF(A598="","",IF(D598=0,"NO PATH",IF(G598&lt;Assumptions!$B$5,"BEFORE AS-OF",IF(G598&gt;=Assumptions!$B$7,"BEYOND HORIZON","IN HORIZON"))))</f>
        <v/>
      </c>
    </row>
    <row r="599" spans="1:8" ht="22" customHeight="1">
      <c r="A599" s="1" t="str">
        <f>IF('Case calculations'!C203&lt;&gt;"OK","",'Case calculations'!A203)</f>
        <v/>
      </c>
      <c r="B599" s="1" t="str">
        <f>IF(A599="","",'Case calculations'!B203)</f>
        <v/>
      </c>
      <c r="C599" s="1" t="str">
        <f>IF(A599="","","HEARING")</f>
        <v/>
      </c>
      <c r="D599" s="19" t="str">
        <f>IF(A599="","",'Case calculations'!S203)</f>
        <v/>
      </c>
      <c r="E599" s="10" t="str">
        <f>IF(A599="","",Assumptions!$B$30)</f>
        <v/>
      </c>
      <c r="F599" s="10" t="str">
        <f t="shared" si="9"/>
        <v/>
      </c>
      <c r="G599" s="7" t="str">
        <f>IF(A599="","",IF(D599=0,"",'Case calculations'!X203))</f>
        <v/>
      </c>
      <c r="H599" s="1" t="str">
        <f>IF(A599="","",IF(D599=0,"NO PATH",IF(G599&lt;Assumptions!$B$5,"BEFORE AS-OF",IF(G599&gt;=Assumptions!$B$7,"BEYOND HORIZON","IN HORIZON"))))</f>
        <v/>
      </c>
    </row>
    <row r="600" spans="1:8" ht="22" customHeight="1">
      <c r="A600" s="1" t="str">
        <f>IF('Case calculations'!C204&lt;&gt;"OK","",'Case calculations'!A204)</f>
        <v/>
      </c>
      <c r="B600" s="1" t="str">
        <f>IF(A600="","",'Case calculations'!B204)</f>
        <v/>
      </c>
      <c r="C600" s="1" t="str">
        <f>IF(A600="","","INITIAL")</f>
        <v/>
      </c>
      <c r="D600" s="19" t="str">
        <f>IF(A600="","",'Case calculations'!N204)</f>
        <v/>
      </c>
      <c r="E600" s="10" t="str">
        <f>IF(A600="","",Assumptions!$B$28)</f>
        <v/>
      </c>
      <c r="F600" s="10" t="str">
        <f t="shared" si="9"/>
        <v/>
      </c>
      <c r="G600" s="7" t="str">
        <f>IF(A600="","",IF(D600=0,"",'Case calculations'!V204))</f>
        <v/>
      </c>
      <c r="H600" s="1" t="str">
        <f>IF(A600="","",IF(D600=0,"NO PATH",IF(G600&lt;Assumptions!$B$5,"BEFORE AS-OF",IF(G600&gt;=Assumptions!$B$7,"BEYOND HORIZON","IN HORIZON"))))</f>
        <v/>
      </c>
    </row>
    <row r="601" spans="1:8" ht="22" customHeight="1">
      <c r="A601" s="1" t="str">
        <f>IF('Case calculations'!C204&lt;&gt;"OK","",'Case calculations'!A204)</f>
        <v/>
      </c>
      <c r="B601" s="1" t="str">
        <f>IF(A601="","",'Case calculations'!B204)</f>
        <v/>
      </c>
      <c r="C601" s="1" t="str">
        <f>IF(A601="","","RECON")</f>
        <v/>
      </c>
      <c r="D601" s="19" t="str">
        <f>IF(A601="","",'Case calculations'!O204)</f>
        <v/>
      </c>
      <c r="E601" s="10" t="str">
        <f>IF(A601="","",Assumptions!$B$29)</f>
        <v/>
      </c>
      <c r="F601" s="10" t="str">
        <f t="shared" si="9"/>
        <v/>
      </c>
      <c r="G601" s="7" t="str">
        <f>IF(A601="","",IF(D601=0,"",'Case calculations'!W204))</f>
        <v/>
      </c>
      <c r="H601" s="1" t="str">
        <f>IF(A601="","",IF(D601=0,"NO PATH",IF(G601&lt;Assumptions!$B$5,"BEFORE AS-OF",IF(G601&gt;=Assumptions!$B$7,"BEYOND HORIZON","IN HORIZON"))))</f>
        <v/>
      </c>
    </row>
    <row r="602" spans="1:8" ht="22" customHeight="1">
      <c r="A602" s="1" t="str">
        <f>IF('Case calculations'!C204&lt;&gt;"OK","",'Case calculations'!A204)</f>
        <v/>
      </c>
      <c r="B602" s="1" t="str">
        <f>IF(A602="","",'Case calculations'!B204)</f>
        <v/>
      </c>
      <c r="C602" s="1" t="str">
        <f>IF(A602="","","HEARING")</f>
        <v/>
      </c>
      <c r="D602" s="19" t="str">
        <f>IF(A602="","",'Case calculations'!S204)</f>
        <v/>
      </c>
      <c r="E602" s="10" t="str">
        <f>IF(A602="","",Assumptions!$B$30)</f>
        <v/>
      </c>
      <c r="F602" s="10" t="str">
        <f t="shared" si="9"/>
        <v/>
      </c>
      <c r="G602" s="7" t="str">
        <f>IF(A602="","",IF(D602=0,"",'Case calculations'!X204))</f>
        <v/>
      </c>
      <c r="H602" s="1" t="str">
        <f>IF(A602="","",IF(D602=0,"NO PATH",IF(G602&lt;Assumptions!$B$5,"BEFORE AS-OF",IF(G602&gt;=Assumptions!$B$7,"BEYOND HORIZON","IN HORIZON"))))</f>
        <v/>
      </c>
    </row>
    <row r="603" spans="1:8" ht="22" customHeight="1">
      <c r="A603" s="1" t="str">
        <f>IF('Case calculations'!C205&lt;&gt;"OK","",'Case calculations'!A205)</f>
        <v/>
      </c>
      <c r="B603" s="1" t="str">
        <f>IF(A603="","",'Case calculations'!B205)</f>
        <v/>
      </c>
      <c r="C603" s="1" t="str">
        <f>IF(A603="","","INITIAL")</f>
        <v/>
      </c>
      <c r="D603" s="19" t="str">
        <f>IF(A603="","",'Case calculations'!N205)</f>
        <v/>
      </c>
      <c r="E603" s="10" t="str">
        <f>IF(A603="","",Assumptions!$B$28)</f>
        <v/>
      </c>
      <c r="F603" s="10" t="str">
        <f t="shared" si="9"/>
        <v/>
      </c>
      <c r="G603" s="7" t="str">
        <f>IF(A603="","",IF(D603=0,"",'Case calculations'!V205))</f>
        <v/>
      </c>
      <c r="H603" s="1" t="str">
        <f>IF(A603="","",IF(D603=0,"NO PATH",IF(G603&lt;Assumptions!$B$5,"BEFORE AS-OF",IF(G603&gt;=Assumptions!$B$7,"BEYOND HORIZON","IN HORIZON"))))</f>
        <v/>
      </c>
    </row>
    <row r="604" spans="1:8" ht="22" customHeight="1">
      <c r="A604" s="1" t="str">
        <f>IF('Case calculations'!C205&lt;&gt;"OK","",'Case calculations'!A205)</f>
        <v/>
      </c>
      <c r="B604" s="1" t="str">
        <f>IF(A604="","",'Case calculations'!B205)</f>
        <v/>
      </c>
      <c r="C604" s="1" t="str">
        <f>IF(A604="","","RECON")</f>
        <v/>
      </c>
      <c r="D604" s="19" t="str">
        <f>IF(A604="","",'Case calculations'!O205)</f>
        <v/>
      </c>
      <c r="E604" s="10" t="str">
        <f>IF(A604="","",Assumptions!$B$29)</f>
        <v/>
      </c>
      <c r="F604" s="10" t="str">
        <f t="shared" si="9"/>
        <v/>
      </c>
      <c r="G604" s="7" t="str">
        <f>IF(A604="","",IF(D604=0,"",'Case calculations'!W205))</f>
        <v/>
      </c>
      <c r="H604" s="1" t="str">
        <f>IF(A604="","",IF(D604=0,"NO PATH",IF(G604&lt;Assumptions!$B$5,"BEFORE AS-OF",IF(G604&gt;=Assumptions!$B$7,"BEYOND HORIZON","IN HORIZON"))))</f>
        <v/>
      </c>
    </row>
    <row r="605" spans="1:8" ht="22" customHeight="1">
      <c r="A605" s="1" t="str">
        <f>IF('Case calculations'!C205&lt;&gt;"OK","",'Case calculations'!A205)</f>
        <v/>
      </c>
      <c r="B605" s="1" t="str">
        <f>IF(A605="","",'Case calculations'!B205)</f>
        <v/>
      </c>
      <c r="C605" s="1" t="str">
        <f>IF(A605="","","HEARING")</f>
        <v/>
      </c>
      <c r="D605" s="19" t="str">
        <f>IF(A605="","",'Case calculations'!S205)</f>
        <v/>
      </c>
      <c r="E605" s="10" t="str">
        <f>IF(A605="","",Assumptions!$B$30)</f>
        <v/>
      </c>
      <c r="F605" s="10" t="str">
        <f t="shared" si="9"/>
        <v/>
      </c>
      <c r="G605" s="7" t="str">
        <f>IF(A605="","",IF(D605=0,"",'Case calculations'!X205))</f>
        <v/>
      </c>
      <c r="H605" s="1" t="str">
        <f>IF(A605="","",IF(D605=0,"NO PATH",IF(G605&lt;Assumptions!$B$5,"BEFORE AS-OF",IF(G605&gt;=Assumptions!$B$7,"BEYOND HORIZON","IN HORIZON"))))</f>
        <v/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BD5DF"/>
  </sheetPr>
  <dimension ref="A1:I2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4" width="17" customWidth="1"/>
    <col min="5" max="7" width="23" customWidth="1"/>
    <col min="8" max="8" width="46" customWidth="1"/>
    <col min="9" max="9" width="28" customWidth="1"/>
  </cols>
  <sheetData>
    <row r="1" spans="1:9" ht="22" customHeight="1">
      <c r="A1" s="1"/>
      <c r="B1" s="1"/>
      <c r="C1" s="1"/>
      <c r="D1" s="1"/>
      <c r="E1" s="1"/>
      <c r="F1" s="1"/>
      <c r="G1" s="1"/>
      <c r="H1" s="1"/>
      <c r="I1" s="1"/>
    </row>
    <row r="2" spans="1:9" ht="22" customHeight="1">
      <c r="A2" s="2" t="s">
        <v>151</v>
      </c>
      <c r="B2" s="1"/>
      <c r="C2" s="1"/>
      <c r="D2" s="1"/>
      <c r="E2" s="1"/>
      <c r="F2" s="1"/>
      <c r="G2" s="1"/>
      <c r="H2" s="1"/>
      <c r="I2" s="1"/>
    </row>
    <row r="3" spans="1:9" ht="36" customHeight="1">
      <c r="A3" s="32" t="s">
        <v>152</v>
      </c>
      <c r="B3" s="29"/>
      <c r="C3" s="29"/>
      <c r="D3" s="29"/>
      <c r="E3" s="29"/>
      <c r="F3" s="29"/>
      <c r="G3" s="29"/>
      <c r="H3" s="29"/>
      <c r="I3" s="29"/>
    </row>
    <row r="4" spans="1:9" ht="22" customHeight="1">
      <c r="A4" s="1"/>
      <c r="B4" s="1"/>
      <c r="C4" s="1"/>
      <c r="D4" s="1"/>
      <c r="E4" s="1"/>
      <c r="F4" s="1"/>
      <c r="G4" s="1"/>
      <c r="H4" s="1"/>
      <c r="I4" s="1"/>
    </row>
    <row r="5" spans="1:9" ht="42" customHeight="1">
      <c r="A5" s="3" t="s">
        <v>153</v>
      </c>
      <c r="B5" s="3" t="s">
        <v>154</v>
      </c>
      <c r="C5" s="3" t="s">
        <v>155</v>
      </c>
      <c r="D5" s="3" t="s">
        <v>156</v>
      </c>
      <c r="E5" s="3" t="s">
        <v>157</v>
      </c>
      <c r="F5" s="3" t="s">
        <v>158</v>
      </c>
      <c r="G5" s="3" t="s">
        <v>159</v>
      </c>
      <c r="H5" s="3" t="s">
        <v>160</v>
      </c>
      <c r="I5" s="3" t="s">
        <v>161</v>
      </c>
    </row>
    <row r="6" spans="1:9" ht="22" customHeight="1">
      <c r="A6" s="4" t="s">
        <v>48</v>
      </c>
      <c r="B6" s="6">
        <v>46296</v>
      </c>
      <c r="C6" s="4" t="s">
        <v>62</v>
      </c>
      <c r="D6" s="6">
        <v>46204</v>
      </c>
      <c r="E6" s="4" t="s">
        <v>162</v>
      </c>
      <c r="F6" s="6"/>
      <c r="G6" s="6"/>
      <c r="H6" s="4" t="s">
        <v>163</v>
      </c>
      <c r="I6" s="11" t="str">
        <f>IF(A6="",IF(COUNTA(B6:H6)&gt;0,"MISSING ID",""),IF(COUNTIFS($A$6:$A$205,A6)&lt;&gt;1,"DUPLICATE ID",IF(AND(C6&lt;&gt;"INITIAL",C6&lt;&gt;"RECON",C6&lt;&gt;"HEARING"),"UNKNOWN STAGE",IF(OR(NOT(ISNUMBER(B6)),B6&gt;Assumptions!$B$5),"INVALID SNAPSHOT",IF(OR(NOT(ISNUMBER(D6)),D6&gt;Assumptions!$B$5),"MISSING / FUTURE START",IF(COUNTIFS(Benchmarks!$A$6:$A$164,E6)&lt;&gt;1,"UNKNOWN OFFICE",IF(AND(F6&lt;&gt;"",OR(NOT(ISNUMBER(F6)),C6&lt;&gt;"HEARING")),"INVALID SCHEDULE",IF(AND(G6&lt;&gt;"",OR(NOT(ISNUMBER(G6)),G6&lt;Assumptions!$B$5)),"INVALID REVIEW DATE",IF(AND(F6&lt;&gt;"",F6&lt;Assumptions!$B$5,G6=""),"STALE SCHEDULE","OK")))))))))</f>
        <v>OK</v>
      </c>
    </row>
    <row r="7" spans="1:9" ht="22" customHeight="1">
      <c r="A7" s="4" t="s">
        <v>164</v>
      </c>
      <c r="B7" s="6">
        <v>46296</v>
      </c>
      <c r="C7" s="4" t="s">
        <v>62</v>
      </c>
      <c r="D7" s="6">
        <v>46204</v>
      </c>
      <c r="E7" s="4" t="s">
        <v>162</v>
      </c>
      <c r="F7" s="6"/>
      <c r="G7" s="6"/>
      <c r="H7" s="4" t="s">
        <v>163</v>
      </c>
      <c r="I7" s="11" t="str">
        <f>IF(A7="",IF(COUNTA(B7:H7)&gt;0,"MISSING ID",""),IF(COUNTIFS($A$6:$A$205,A7)&lt;&gt;1,"DUPLICATE ID",IF(AND(C7&lt;&gt;"INITIAL",C7&lt;&gt;"RECON",C7&lt;&gt;"HEARING"),"UNKNOWN STAGE",IF(OR(NOT(ISNUMBER(B7)),B7&gt;Assumptions!$B$5),"INVALID SNAPSHOT",IF(OR(NOT(ISNUMBER(D7)),D7&gt;Assumptions!$B$5),"MISSING / FUTURE START",IF(COUNTIFS(Benchmarks!$A$6:$A$164,E7)&lt;&gt;1,"UNKNOWN OFFICE",IF(AND(F7&lt;&gt;"",OR(NOT(ISNUMBER(F7)),C7&lt;&gt;"HEARING")),"INVALID SCHEDULE",IF(AND(G7&lt;&gt;"",OR(NOT(ISNUMBER(G7)),G7&lt;Assumptions!$B$5)),"INVALID REVIEW DATE",IF(AND(F7&lt;&gt;"",F7&lt;Assumptions!$B$5,G7=""),"STALE SCHEDULE","OK")))))))))</f>
        <v>OK</v>
      </c>
    </row>
    <row r="8" spans="1:9" ht="22" customHeight="1">
      <c r="A8" s="4" t="s">
        <v>165</v>
      </c>
      <c r="B8" s="6">
        <v>46296</v>
      </c>
      <c r="C8" s="4" t="s">
        <v>62</v>
      </c>
      <c r="D8" s="6">
        <v>46204</v>
      </c>
      <c r="E8" s="4" t="s">
        <v>162</v>
      </c>
      <c r="F8" s="6"/>
      <c r="G8" s="6"/>
      <c r="H8" s="4" t="s">
        <v>163</v>
      </c>
      <c r="I8" s="11" t="str">
        <f>IF(A8="",IF(COUNTA(B8:H8)&gt;0,"MISSING ID",""),IF(COUNTIFS($A$6:$A$205,A8)&lt;&gt;1,"DUPLICATE ID",IF(AND(C8&lt;&gt;"INITIAL",C8&lt;&gt;"RECON",C8&lt;&gt;"HEARING"),"UNKNOWN STAGE",IF(OR(NOT(ISNUMBER(B8)),B8&gt;Assumptions!$B$5),"INVALID SNAPSHOT",IF(OR(NOT(ISNUMBER(D8)),D8&gt;Assumptions!$B$5),"MISSING / FUTURE START",IF(COUNTIFS(Benchmarks!$A$6:$A$164,E8)&lt;&gt;1,"UNKNOWN OFFICE",IF(AND(F8&lt;&gt;"",OR(NOT(ISNUMBER(F8)),C8&lt;&gt;"HEARING")),"INVALID SCHEDULE",IF(AND(G8&lt;&gt;"",OR(NOT(ISNUMBER(G8)),G8&lt;Assumptions!$B$5)),"INVALID REVIEW DATE",IF(AND(F8&lt;&gt;"",F8&lt;Assumptions!$B$5,G8=""),"STALE SCHEDULE","OK")))))))))</f>
        <v>OK</v>
      </c>
    </row>
    <row r="9" spans="1:9" ht="22" customHeight="1">
      <c r="A9" s="4" t="s">
        <v>166</v>
      </c>
      <c r="B9" s="6">
        <v>46296</v>
      </c>
      <c r="C9" s="4" t="s">
        <v>62</v>
      </c>
      <c r="D9" s="6">
        <v>46204</v>
      </c>
      <c r="E9" s="4" t="s">
        <v>162</v>
      </c>
      <c r="F9" s="6"/>
      <c r="G9" s="6"/>
      <c r="H9" s="4" t="s">
        <v>163</v>
      </c>
      <c r="I9" s="11" t="str">
        <f>IF(A9="",IF(COUNTA(B9:H9)&gt;0,"MISSING ID",""),IF(COUNTIFS($A$6:$A$205,A9)&lt;&gt;1,"DUPLICATE ID",IF(AND(C9&lt;&gt;"INITIAL",C9&lt;&gt;"RECON",C9&lt;&gt;"HEARING"),"UNKNOWN STAGE",IF(OR(NOT(ISNUMBER(B9)),B9&gt;Assumptions!$B$5),"INVALID SNAPSHOT",IF(OR(NOT(ISNUMBER(D9)),D9&gt;Assumptions!$B$5),"MISSING / FUTURE START",IF(COUNTIFS(Benchmarks!$A$6:$A$164,E9)&lt;&gt;1,"UNKNOWN OFFICE",IF(AND(F9&lt;&gt;"",OR(NOT(ISNUMBER(F9)),C9&lt;&gt;"HEARING")),"INVALID SCHEDULE",IF(AND(G9&lt;&gt;"",OR(NOT(ISNUMBER(G9)),G9&lt;Assumptions!$B$5)),"INVALID REVIEW DATE",IF(AND(F9&lt;&gt;"",F9&lt;Assumptions!$B$5,G9=""),"STALE SCHEDULE","OK")))))))))</f>
        <v>OK</v>
      </c>
    </row>
    <row r="10" spans="1:9" ht="22" customHeight="1">
      <c r="A10" s="4" t="s">
        <v>167</v>
      </c>
      <c r="B10" s="6">
        <v>46296</v>
      </c>
      <c r="C10" s="4" t="s">
        <v>62</v>
      </c>
      <c r="D10" s="6">
        <v>46204</v>
      </c>
      <c r="E10" s="4" t="s">
        <v>162</v>
      </c>
      <c r="F10" s="6"/>
      <c r="G10" s="6"/>
      <c r="H10" s="4" t="s">
        <v>163</v>
      </c>
      <c r="I10" s="11" t="str">
        <f>IF(A10="",IF(COUNTA(B10:H10)&gt;0,"MISSING ID",""),IF(COUNTIFS($A$6:$A$205,A10)&lt;&gt;1,"DUPLICATE ID",IF(AND(C10&lt;&gt;"INITIAL",C10&lt;&gt;"RECON",C10&lt;&gt;"HEARING"),"UNKNOWN STAGE",IF(OR(NOT(ISNUMBER(B10)),B10&gt;Assumptions!$B$5),"INVALID SNAPSHOT",IF(OR(NOT(ISNUMBER(D10)),D10&gt;Assumptions!$B$5),"MISSING / FUTURE START",IF(COUNTIFS(Benchmarks!$A$6:$A$164,E10)&lt;&gt;1,"UNKNOWN OFFICE",IF(AND(F10&lt;&gt;"",OR(NOT(ISNUMBER(F10)),C10&lt;&gt;"HEARING")),"INVALID SCHEDULE",IF(AND(G10&lt;&gt;"",OR(NOT(ISNUMBER(G10)),G10&lt;Assumptions!$B$5)),"INVALID REVIEW DATE",IF(AND(F10&lt;&gt;"",F10&lt;Assumptions!$B$5,G10=""),"STALE SCHEDULE","OK")))))))))</f>
        <v>OK</v>
      </c>
    </row>
    <row r="11" spans="1:9" ht="22" customHeight="1">
      <c r="A11" s="4" t="s">
        <v>168</v>
      </c>
      <c r="B11" s="6">
        <v>46296</v>
      </c>
      <c r="C11" s="4" t="s">
        <v>62</v>
      </c>
      <c r="D11" s="6">
        <v>46204</v>
      </c>
      <c r="E11" s="4" t="s">
        <v>162</v>
      </c>
      <c r="F11" s="6"/>
      <c r="G11" s="6"/>
      <c r="H11" s="4" t="s">
        <v>163</v>
      </c>
      <c r="I11" s="11" t="str">
        <f>IF(A11="",IF(COUNTA(B11:H11)&gt;0,"MISSING ID",""),IF(COUNTIFS($A$6:$A$205,A11)&lt;&gt;1,"DUPLICATE ID",IF(AND(C11&lt;&gt;"INITIAL",C11&lt;&gt;"RECON",C11&lt;&gt;"HEARING"),"UNKNOWN STAGE",IF(OR(NOT(ISNUMBER(B11)),B11&gt;Assumptions!$B$5),"INVALID SNAPSHOT",IF(OR(NOT(ISNUMBER(D11)),D11&gt;Assumptions!$B$5),"MISSING / FUTURE START",IF(COUNTIFS(Benchmarks!$A$6:$A$164,E11)&lt;&gt;1,"UNKNOWN OFFICE",IF(AND(F11&lt;&gt;"",OR(NOT(ISNUMBER(F11)),C11&lt;&gt;"HEARING")),"INVALID SCHEDULE",IF(AND(G11&lt;&gt;"",OR(NOT(ISNUMBER(G11)),G11&lt;Assumptions!$B$5)),"INVALID REVIEW DATE",IF(AND(F11&lt;&gt;"",F11&lt;Assumptions!$B$5,G11=""),"STALE SCHEDULE","OK")))))))))</f>
        <v>OK</v>
      </c>
    </row>
    <row r="12" spans="1:9" ht="22" customHeight="1">
      <c r="A12" s="4" t="s">
        <v>169</v>
      </c>
      <c r="B12" s="6">
        <v>46296</v>
      </c>
      <c r="C12" s="4" t="s">
        <v>62</v>
      </c>
      <c r="D12" s="6">
        <v>46204</v>
      </c>
      <c r="E12" s="4" t="s">
        <v>162</v>
      </c>
      <c r="F12" s="6"/>
      <c r="G12" s="6"/>
      <c r="H12" s="4" t="s">
        <v>163</v>
      </c>
      <c r="I12" s="11" t="str">
        <f>IF(A12="",IF(COUNTA(B12:H12)&gt;0,"MISSING ID",""),IF(COUNTIFS($A$6:$A$205,A12)&lt;&gt;1,"DUPLICATE ID",IF(AND(C12&lt;&gt;"INITIAL",C12&lt;&gt;"RECON",C12&lt;&gt;"HEARING"),"UNKNOWN STAGE",IF(OR(NOT(ISNUMBER(B12)),B12&gt;Assumptions!$B$5),"INVALID SNAPSHOT",IF(OR(NOT(ISNUMBER(D12)),D12&gt;Assumptions!$B$5),"MISSING / FUTURE START",IF(COUNTIFS(Benchmarks!$A$6:$A$164,E12)&lt;&gt;1,"UNKNOWN OFFICE",IF(AND(F12&lt;&gt;"",OR(NOT(ISNUMBER(F12)),C12&lt;&gt;"HEARING")),"INVALID SCHEDULE",IF(AND(G12&lt;&gt;"",OR(NOT(ISNUMBER(G12)),G12&lt;Assumptions!$B$5)),"INVALID REVIEW DATE",IF(AND(F12&lt;&gt;"",F12&lt;Assumptions!$B$5,G12=""),"STALE SCHEDULE","OK")))))))))</f>
        <v>OK</v>
      </c>
    </row>
    <row r="13" spans="1:9" ht="22" customHeight="1">
      <c r="A13" s="4" t="s">
        <v>170</v>
      </c>
      <c r="B13" s="6">
        <v>46296</v>
      </c>
      <c r="C13" s="4" t="s">
        <v>62</v>
      </c>
      <c r="D13" s="6">
        <v>46204</v>
      </c>
      <c r="E13" s="4" t="s">
        <v>162</v>
      </c>
      <c r="F13" s="6"/>
      <c r="G13" s="6"/>
      <c r="H13" s="4" t="s">
        <v>163</v>
      </c>
      <c r="I13" s="11" t="str">
        <f>IF(A13="",IF(COUNTA(B13:H13)&gt;0,"MISSING ID",""),IF(COUNTIFS($A$6:$A$205,A13)&lt;&gt;1,"DUPLICATE ID",IF(AND(C13&lt;&gt;"INITIAL",C13&lt;&gt;"RECON",C13&lt;&gt;"HEARING"),"UNKNOWN STAGE",IF(OR(NOT(ISNUMBER(B13)),B13&gt;Assumptions!$B$5),"INVALID SNAPSHOT",IF(OR(NOT(ISNUMBER(D13)),D13&gt;Assumptions!$B$5),"MISSING / FUTURE START",IF(COUNTIFS(Benchmarks!$A$6:$A$164,E13)&lt;&gt;1,"UNKNOWN OFFICE",IF(AND(F13&lt;&gt;"",OR(NOT(ISNUMBER(F13)),C13&lt;&gt;"HEARING")),"INVALID SCHEDULE",IF(AND(G13&lt;&gt;"",OR(NOT(ISNUMBER(G13)),G13&lt;Assumptions!$B$5)),"INVALID REVIEW DATE",IF(AND(F13&lt;&gt;"",F13&lt;Assumptions!$B$5,G13=""),"STALE SCHEDULE","OK")))))))))</f>
        <v>OK</v>
      </c>
    </row>
    <row r="14" spans="1:9" ht="22" customHeight="1">
      <c r="A14" s="4" t="s">
        <v>171</v>
      </c>
      <c r="B14" s="6">
        <v>46296</v>
      </c>
      <c r="C14" s="4" t="s">
        <v>62</v>
      </c>
      <c r="D14" s="6">
        <v>46204</v>
      </c>
      <c r="E14" s="4" t="s">
        <v>162</v>
      </c>
      <c r="F14" s="6"/>
      <c r="G14" s="6"/>
      <c r="H14" s="4" t="s">
        <v>163</v>
      </c>
      <c r="I14" s="11" t="str">
        <f>IF(A14="",IF(COUNTA(B14:H14)&gt;0,"MISSING ID",""),IF(COUNTIFS($A$6:$A$205,A14)&lt;&gt;1,"DUPLICATE ID",IF(AND(C14&lt;&gt;"INITIAL",C14&lt;&gt;"RECON",C14&lt;&gt;"HEARING"),"UNKNOWN STAGE",IF(OR(NOT(ISNUMBER(B14)),B14&gt;Assumptions!$B$5),"INVALID SNAPSHOT",IF(OR(NOT(ISNUMBER(D14)),D14&gt;Assumptions!$B$5),"MISSING / FUTURE START",IF(COUNTIFS(Benchmarks!$A$6:$A$164,E14)&lt;&gt;1,"UNKNOWN OFFICE",IF(AND(F14&lt;&gt;"",OR(NOT(ISNUMBER(F14)),C14&lt;&gt;"HEARING")),"INVALID SCHEDULE",IF(AND(G14&lt;&gt;"",OR(NOT(ISNUMBER(G14)),G14&lt;Assumptions!$B$5)),"INVALID REVIEW DATE",IF(AND(F14&lt;&gt;"",F14&lt;Assumptions!$B$5,G14=""),"STALE SCHEDULE","OK")))))))))</f>
        <v>OK</v>
      </c>
    </row>
    <row r="15" spans="1:9" ht="22" customHeight="1">
      <c r="A15" s="4" t="s">
        <v>172</v>
      </c>
      <c r="B15" s="6">
        <v>46296</v>
      </c>
      <c r="C15" s="4" t="s">
        <v>62</v>
      </c>
      <c r="D15" s="6">
        <v>46204</v>
      </c>
      <c r="E15" s="4" t="s">
        <v>162</v>
      </c>
      <c r="F15" s="6"/>
      <c r="G15" s="6"/>
      <c r="H15" s="4" t="s">
        <v>163</v>
      </c>
      <c r="I15" s="11" t="str">
        <f>IF(A15="",IF(COUNTA(B15:H15)&gt;0,"MISSING ID",""),IF(COUNTIFS($A$6:$A$205,A15)&lt;&gt;1,"DUPLICATE ID",IF(AND(C15&lt;&gt;"INITIAL",C15&lt;&gt;"RECON",C15&lt;&gt;"HEARING"),"UNKNOWN STAGE",IF(OR(NOT(ISNUMBER(B15)),B15&gt;Assumptions!$B$5),"INVALID SNAPSHOT",IF(OR(NOT(ISNUMBER(D15)),D15&gt;Assumptions!$B$5),"MISSING / FUTURE START",IF(COUNTIFS(Benchmarks!$A$6:$A$164,E15)&lt;&gt;1,"UNKNOWN OFFICE",IF(AND(F15&lt;&gt;"",OR(NOT(ISNUMBER(F15)),C15&lt;&gt;"HEARING")),"INVALID SCHEDULE",IF(AND(G15&lt;&gt;"",OR(NOT(ISNUMBER(G15)),G15&lt;Assumptions!$B$5)),"INVALID REVIEW DATE",IF(AND(F15&lt;&gt;"",F15&lt;Assumptions!$B$5,G15=""),"STALE SCHEDULE","OK")))))))))</f>
        <v>OK</v>
      </c>
    </row>
    <row r="16" spans="1:9" ht="22" customHeight="1">
      <c r="A16" s="4" t="s">
        <v>173</v>
      </c>
      <c r="B16" s="6">
        <v>46296</v>
      </c>
      <c r="C16" s="4" t="s">
        <v>62</v>
      </c>
      <c r="D16" s="6">
        <v>46235</v>
      </c>
      <c r="E16" s="4" t="s">
        <v>162</v>
      </c>
      <c r="F16" s="6"/>
      <c r="G16" s="6"/>
      <c r="H16" s="4" t="s">
        <v>163</v>
      </c>
      <c r="I16" s="11" t="str">
        <f>IF(A16="",IF(COUNTA(B16:H16)&gt;0,"MISSING ID",""),IF(COUNTIFS($A$6:$A$205,A16)&lt;&gt;1,"DUPLICATE ID",IF(AND(C16&lt;&gt;"INITIAL",C16&lt;&gt;"RECON",C16&lt;&gt;"HEARING"),"UNKNOWN STAGE",IF(OR(NOT(ISNUMBER(B16)),B16&gt;Assumptions!$B$5),"INVALID SNAPSHOT",IF(OR(NOT(ISNUMBER(D16)),D16&gt;Assumptions!$B$5),"MISSING / FUTURE START",IF(COUNTIFS(Benchmarks!$A$6:$A$164,E16)&lt;&gt;1,"UNKNOWN OFFICE",IF(AND(F16&lt;&gt;"",OR(NOT(ISNUMBER(F16)),C16&lt;&gt;"HEARING")),"INVALID SCHEDULE",IF(AND(G16&lt;&gt;"",OR(NOT(ISNUMBER(G16)),G16&lt;Assumptions!$B$5)),"INVALID REVIEW DATE",IF(AND(F16&lt;&gt;"",F16&lt;Assumptions!$B$5,G16=""),"STALE SCHEDULE","OK")))))))))</f>
        <v>OK</v>
      </c>
    </row>
    <row r="17" spans="1:9" ht="22" customHeight="1">
      <c r="A17" s="4" t="s">
        <v>174</v>
      </c>
      <c r="B17" s="6">
        <v>46296</v>
      </c>
      <c r="C17" s="4" t="s">
        <v>62</v>
      </c>
      <c r="D17" s="6">
        <v>46235</v>
      </c>
      <c r="E17" s="4" t="s">
        <v>162</v>
      </c>
      <c r="F17" s="6"/>
      <c r="G17" s="6"/>
      <c r="H17" s="4" t="s">
        <v>163</v>
      </c>
      <c r="I17" s="11" t="str">
        <f>IF(A17="",IF(COUNTA(B17:H17)&gt;0,"MISSING ID",""),IF(COUNTIFS($A$6:$A$205,A17)&lt;&gt;1,"DUPLICATE ID",IF(AND(C17&lt;&gt;"INITIAL",C17&lt;&gt;"RECON",C17&lt;&gt;"HEARING"),"UNKNOWN STAGE",IF(OR(NOT(ISNUMBER(B17)),B17&gt;Assumptions!$B$5),"INVALID SNAPSHOT",IF(OR(NOT(ISNUMBER(D17)),D17&gt;Assumptions!$B$5),"MISSING / FUTURE START",IF(COUNTIFS(Benchmarks!$A$6:$A$164,E17)&lt;&gt;1,"UNKNOWN OFFICE",IF(AND(F17&lt;&gt;"",OR(NOT(ISNUMBER(F17)),C17&lt;&gt;"HEARING")),"INVALID SCHEDULE",IF(AND(G17&lt;&gt;"",OR(NOT(ISNUMBER(G17)),G17&lt;Assumptions!$B$5)),"INVALID REVIEW DATE",IF(AND(F17&lt;&gt;"",F17&lt;Assumptions!$B$5,G17=""),"STALE SCHEDULE","OK")))))))))</f>
        <v>OK</v>
      </c>
    </row>
    <row r="18" spans="1:9" ht="22" customHeight="1">
      <c r="A18" s="4" t="s">
        <v>175</v>
      </c>
      <c r="B18" s="6">
        <v>46296</v>
      </c>
      <c r="C18" s="4" t="s">
        <v>62</v>
      </c>
      <c r="D18" s="6">
        <v>46235</v>
      </c>
      <c r="E18" s="4" t="s">
        <v>162</v>
      </c>
      <c r="F18" s="6"/>
      <c r="G18" s="6"/>
      <c r="H18" s="4" t="s">
        <v>163</v>
      </c>
      <c r="I18" s="11" t="str">
        <f>IF(A18="",IF(COUNTA(B18:H18)&gt;0,"MISSING ID",""),IF(COUNTIFS($A$6:$A$205,A18)&lt;&gt;1,"DUPLICATE ID",IF(AND(C18&lt;&gt;"INITIAL",C18&lt;&gt;"RECON",C18&lt;&gt;"HEARING"),"UNKNOWN STAGE",IF(OR(NOT(ISNUMBER(B18)),B18&gt;Assumptions!$B$5),"INVALID SNAPSHOT",IF(OR(NOT(ISNUMBER(D18)),D18&gt;Assumptions!$B$5),"MISSING / FUTURE START",IF(COUNTIFS(Benchmarks!$A$6:$A$164,E18)&lt;&gt;1,"UNKNOWN OFFICE",IF(AND(F18&lt;&gt;"",OR(NOT(ISNUMBER(F18)),C18&lt;&gt;"HEARING")),"INVALID SCHEDULE",IF(AND(G18&lt;&gt;"",OR(NOT(ISNUMBER(G18)),G18&lt;Assumptions!$B$5)),"INVALID REVIEW DATE",IF(AND(F18&lt;&gt;"",F18&lt;Assumptions!$B$5,G18=""),"STALE SCHEDULE","OK")))))))))</f>
        <v>OK</v>
      </c>
    </row>
    <row r="19" spans="1:9" ht="22" customHeight="1">
      <c r="A19" s="4" t="s">
        <v>176</v>
      </c>
      <c r="B19" s="6">
        <v>46296</v>
      </c>
      <c r="C19" s="4" t="s">
        <v>62</v>
      </c>
      <c r="D19" s="6">
        <v>46235</v>
      </c>
      <c r="E19" s="4" t="s">
        <v>162</v>
      </c>
      <c r="F19" s="6"/>
      <c r="G19" s="6"/>
      <c r="H19" s="4" t="s">
        <v>163</v>
      </c>
      <c r="I19" s="11" t="str">
        <f>IF(A19="",IF(COUNTA(B19:H19)&gt;0,"MISSING ID",""),IF(COUNTIFS($A$6:$A$205,A19)&lt;&gt;1,"DUPLICATE ID",IF(AND(C19&lt;&gt;"INITIAL",C19&lt;&gt;"RECON",C19&lt;&gt;"HEARING"),"UNKNOWN STAGE",IF(OR(NOT(ISNUMBER(B19)),B19&gt;Assumptions!$B$5),"INVALID SNAPSHOT",IF(OR(NOT(ISNUMBER(D19)),D19&gt;Assumptions!$B$5),"MISSING / FUTURE START",IF(COUNTIFS(Benchmarks!$A$6:$A$164,E19)&lt;&gt;1,"UNKNOWN OFFICE",IF(AND(F19&lt;&gt;"",OR(NOT(ISNUMBER(F19)),C19&lt;&gt;"HEARING")),"INVALID SCHEDULE",IF(AND(G19&lt;&gt;"",OR(NOT(ISNUMBER(G19)),G19&lt;Assumptions!$B$5)),"INVALID REVIEW DATE",IF(AND(F19&lt;&gt;"",F19&lt;Assumptions!$B$5,G19=""),"STALE SCHEDULE","OK")))))))))</f>
        <v>OK</v>
      </c>
    </row>
    <row r="20" spans="1:9" ht="22" customHeight="1">
      <c r="A20" s="4" t="s">
        <v>177</v>
      </c>
      <c r="B20" s="6">
        <v>46296</v>
      </c>
      <c r="C20" s="4" t="s">
        <v>62</v>
      </c>
      <c r="D20" s="6">
        <v>46235</v>
      </c>
      <c r="E20" s="4" t="s">
        <v>162</v>
      </c>
      <c r="F20" s="6"/>
      <c r="G20" s="6"/>
      <c r="H20" s="4" t="s">
        <v>163</v>
      </c>
      <c r="I20" s="11" t="str">
        <f>IF(A20="",IF(COUNTA(B20:H20)&gt;0,"MISSING ID",""),IF(COUNTIFS($A$6:$A$205,A20)&lt;&gt;1,"DUPLICATE ID",IF(AND(C20&lt;&gt;"INITIAL",C20&lt;&gt;"RECON",C20&lt;&gt;"HEARING"),"UNKNOWN STAGE",IF(OR(NOT(ISNUMBER(B20)),B20&gt;Assumptions!$B$5),"INVALID SNAPSHOT",IF(OR(NOT(ISNUMBER(D20)),D20&gt;Assumptions!$B$5),"MISSING / FUTURE START",IF(COUNTIFS(Benchmarks!$A$6:$A$164,E20)&lt;&gt;1,"UNKNOWN OFFICE",IF(AND(F20&lt;&gt;"",OR(NOT(ISNUMBER(F20)),C20&lt;&gt;"HEARING")),"INVALID SCHEDULE",IF(AND(G20&lt;&gt;"",OR(NOT(ISNUMBER(G20)),G20&lt;Assumptions!$B$5)),"INVALID REVIEW DATE",IF(AND(F20&lt;&gt;"",F20&lt;Assumptions!$B$5,G20=""),"STALE SCHEDULE","OK")))))))))</f>
        <v>OK</v>
      </c>
    </row>
    <row r="21" spans="1:9" ht="22" customHeight="1">
      <c r="A21" s="4" t="s">
        <v>178</v>
      </c>
      <c r="B21" s="6">
        <v>46296</v>
      </c>
      <c r="C21" s="4" t="s">
        <v>62</v>
      </c>
      <c r="D21" s="6">
        <v>46235</v>
      </c>
      <c r="E21" s="4" t="s">
        <v>162</v>
      </c>
      <c r="F21" s="6"/>
      <c r="G21" s="6"/>
      <c r="H21" s="4" t="s">
        <v>163</v>
      </c>
      <c r="I21" s="11" t="str">
        <f>IF(A21="",IF(COUNTA(B21:H21)&gt;0,"MISSING ID",""),IF(COUNTIFS($A$6:$A$205,A21)&lt;&gt;1,"DUPLICATE ID",IF(AND(C21&lt;&gt;"INITIAL",C21&lt;&gt;"RECON",C21&lt;&gt;"HEARING"),"UNKNOWN STAGE",IF(OR(NOT(ISNUMBER(B21)),B21&gt;Assumptions!$B$5),"INVALID SNAPSHOT",IF(OR(NOT(ISNUMBER(D21)),D21&gt;Assumptions!$B$5),"MISSING / FUTURE START",IF(COUNTIFS(Benchmarks!$A$6:$A$164,E21)&lt;&gt;1,"UNKNOWN OFFICE",IF(AND(F21&lt;&gt;"",OR(NOT(ISNUMBER(F21)),C21&lt;&gt;"HEARING")),"INVALID SCHEDULE",IF(AND(G21&lt;&gt;"",OR(NOT(ISNUMBER(G21)),G21&lt;Assumptions!$B$5)),"INVALID REVIEW DATE",IF(AND(F21&lt;&gt;"",F21&lt;Assumptions!$B$5,G21=""),"STALE SCHEDULE","OK")))))))))</f>
        <v>OK</v>
      </c>
    </row>
    <row r="22" spans="1:9" ht="22" customHeight="1">
      <c r="A22" s="4" t="s">
        <v>179</v>
      </c>
      <c r="B22" s="6">
        <v>46296</v>
      </c>
      <c r="C22" s="4" t="s">
        <v>62</v>
      </c>
      <c r="D22" s="6">
        <v>46235</v>
      </c>
      <c r="E22" s="4" t="s">
        <v>162</v>
      </c>
      <c r="F22" s="6"/>
      <c r="G22" s="6"/>
      <c r="H22" s="4" t="s">
        <v>163</v>
      </c>
      <c r="I22" s="11" t="str">
        <f>IF(A22="",IF(COUNTA(B22:H22)&gt;0,"MISSING ID",""),IF(COUNTIFS($A$6:$A$205,A22)&lt;&gt;1,"DUPLICATE ID",IF(AND(C22&lt;&gt;"INITIAL",C22&lt;&gt;"RECON",C22&lt;&gt;"HEARING"),"UNKNOWN STAGE",IF(OR(NOT(ISNUMBER(B22)),B22&gt;Assumptions!$B$5),"INVALID SNAPSHOT",IF(OR(NOT(ISNUMBER(D22)),D22&gt;Assumptions!$B$5),"MISSING / FUTURE START",IF(COUNTIFS(Benchmarks!$A$6:$A$164,E22)&lt;&gt;1,"UNKNOWN OFFICE",IF(AND(F22&lt;&gt;"",OR(NOT(ISNUMBER(F22)),C22&lt;&gt;"HEARING")),"INVALID SCHEDULE",IF(AND(G22&lt;&gt;"",OR(NOT(ISNUMBER(G22)),G22&lt;Assumptions!$B$5)),"INVALID REVIEW DATE",IF(AND(F22&lt;&gt;"",F22&lt;Assumptions!$B$5,G22=""),"STALE SCHEDULE","OK")))))))))</f>
        <v>OK</v>
      </c>
    </row>
    <row r="23" spans="1:9" ht="22" customHeight="1">
      <c r="A23" s="4" t="s">
        <v>180</v>
      </c>
      <c r="B23" s="6">
        <v>46296</v>
      </c>
      <c r="C23" s="4" t="s">
        <v>62</v>
      </c>
      <c r="D23" s="6">
        <v>46235</v>
      </c>
      <c r="E23" s="4" t="s">
        <v>162</v>
      </c>
      <c r="F23" s="6"/>
      <c r="G23" s="6"/>
      <c r="H23" s="4" t="s">
        <v>163</v>
      </c>
      <c r="I23" s="11" t="str">
        <f>IF(A23="",IF(COUNTA(B23:H23)&gt;0,"MISSING ID",""),IF(COUNTIFS($A$6:$A$205,A23)&lt;&gt;1,"DUPLICATE ID",IF(AND(C23&lt;&gt;"INITIAL",C23&lt;&gt;"RECON",C23&lt;&gt;"HEARING"),"UNKNOWN STAGE",IF(OR(NOT(ISNUMBER(B23)),B23&gt;Assumptions!$B$5),"INVALID SNAPSHOT",IF(OR(NOT(ISNUMBER(D23)),D23&gt;Assumptions!$B$5),"MISSING / FUTURE START",IF(COUNTIFS(Benchmarks!$A$6:$A$164,E23)&lt;&gt;1,"UNKNOWN OFFICE",IF(AND(F23&lt;&gt;"",OR(NOT(ISNUMBER(F23)),C23&lt;&gt;"HEARING")),"INVALID SCHEDULE",IF(AND(G23&lt;&gt;"",OR(NOT(ISNUMBER(G23)),G23&lt;Assumptions!$B$5)),"INVALID REVIEW DATE",IF(AND(F23&lt;&gt;"",F23&lt;Assumptions!$B$5,G23=""),"STALE SCHEDULE","OK")))))))))</f>
        <v>OK</v>
      </c>
    </row>
    <row r="24" spans="1:9" ht="22" customHeight="1">
      <c r="A24" s="4" t="s">
        <v>181</v>
      </c>
      <c r="B24" s="6">
        <v>46296</v>
      </c>
      <c r="C24" s="4" t="s">
        <v>62</v>
      </c>
      <c r="D24" s="6">
        <v>46235</v>
      </c>
      <c r="E24" s="4" t="s">
        <v>162</v>
      </c>
      <c r="F24" s="6"/>
      <c r="G24" s="6"/>
      <c r="H24" s="4" t="s">
        <v>163</v>
      </c>
      <c r="I24" s="11" t="str">
        <f>IF(A24="",IF(COUNTA(B24:H24)&gt;0,"MISSING ID",""),IF(COUNTIFS($A$6:$A$205,A24)&lt;&gt;1,"DUPLICATE ID",IF(AND(C24&lt;&gt;"INITIAL",C24&lt;&gt;"RECON",C24&lt;&gt;"HEARING"),"UNKNOWN STAGE",IF(OR(NOT(ISNUMBER(B24)),B24&gt;Assumptions!$B$5),"INVALID SNAPSHOT",IF(OR(NOT(ISNUMBER(D24)),D24&gt;Assumptions!$B$5),"MISSING / FUTURE START",IF(COUNTIFS(Benchmarks!$A$6:$A$164,E24)&lt;&gt;1,"UNKNOWN OFFICE",IF(AND(F24&lt;&gt;"",OR(NOT(ISNUMBER(F24)),C24&lt;&gt;"HEARING")),"INVALID SCHEDULE",IF(AND(G24&lt;&gt;"",OR(NOT(ISNUMBER(G24)),G24&lt;Assumptions!$B$5)),"INVALID REVIEW DATE",IF(AND(F24&lt;&gt;"",F24&lt;Assumptions!$B$5,G24=""),"STALE SCHEDULE","OK")))))))))</f>
        <v>OK</v>
      </c>
    </row>
    <row r="25" spans="1:9" ht="22" customHeight="1">
      <c r="A25" s="4" t="s">
        <v>182</v>
      </c>
      <c r="B25" s="6">
        <v>46296</v>
      </c>
      <c r="C25" s="4" t="s">
        <v>62</v>
      </c>
      <c r="D25" s="6">
        <v>46235</v>
      </c>
      <c r="E25" s="4" t="s">
        <v>162</v>
      </c>
      <c r="F25" s="6"/>
      <c r="G25" s="6"/>
      <c r="H25" s="4" t="s">
        <v>163</v>
      </c>
      <c r="I25" s="11" t="str">
        <f>IF(A25="",IF(COUNTA(B25:H25)&gt;0,"MISSING ID",""),IF(COUNTIFS($A$6:$A$205,A25)&lt;&gt;1,"DUPLICATE ID",IF(AND(C25&lt;&gt;"INITIAL",C25&lt;&gt;"RECON",C25&lt;&gt;"HEARING"),"UNKNOWN STAGE",IF(OR(NOT(ISNUMBER(B25)),B25&gt;Assumptions!$B$5),"INVALID SNAPSHOT",IF(OR(NOT(ISNUMBER(D25)),D25&gt;Assumptions!$B$5),"MISSING / FUTURE START",IF(COUNTIFS(Benchmarks!$A$6:$A$164,E25)&lt;&gt;1,"UNKNOWN OFFICE",IF(AND(F25&lt;&gt;"",OR(NOT(ISNUMBER(F25)),C25&lt;&gt;"HEARING")),"INVALID SCHEDULE",IF(AND(G25&lt;&gt;"",OR(NOT(ISNUMBER(G25)),G25&lt;Assumptions!$B$5)),"INVALID REVIEW DATE",IF(AND(F25&lt;&gt;"",F25&lt;Assumptions!$B$5,G25=""),"STALE SCHEDULE","OK")))))))))</f>
        <v>OK</v>
      </c>
    </row>
    <row r="26" spans="1:9" ht="22" customHeight="1">
      <c r="A26" s="4" t="s">
        <v>183</v>
      </c>
      <c r="B26" s="6">
        <v>46296</v>
      </c>
      <c r="C26" s="4" t="s">
        <v>62</v>
      </c>
      <c r="D26" s="6">
        <v>46266</v>
      </c>
      <c r="E26" s="4" t="s">
        <v>162</v>
      </c>
      <c r="F26" s="6"/>
      <c r="G26" s="6"/>
      <c r="H26" s="4" t="s">
        <v>163</v>
      </c>
      <c r="I26" s="11" t="str">
        <f>IF(A26="",IF(COUNTA(B26:H26)&gt;0,"MISSING ID",""),IF(COUNTIFS($A$6:$A$205,A26)&lt;&gt;1,"DUPLICATE ID",IF(AND(C26&lt;&gt;"INITIAL",C26&lt;&gt;"RECON",C26&lt;&gt;"HEARING"),"UNKNOWN STAGE",IF(OR(NOT(ISNUMBER(B26)),B26&gt;Assumptions!$B$5),"INVALID SNAPSHOT",IF(OR(NOT(ISNUMBER(D26)),D26&gt;Assumptions!$B$5),"MISSING / FUTURE START",IF(COUNTIFS(Benchmarks!$A$6:$A$164,E26)&lt;&gt;1,"UNKNOWN OFFICE",IF(AND(F26&lt;&gt;"",OR(NOT(ISNUMBER(F26)),C26&lt;&gt;"HEARING")),"INVALID SCHEDULE",IF(AND(G26&lt;&gt;"",OR(NOT(ISNUMBER(G26)),G26&lt;Assumptions!$B$5)),"INVALID REVIEW DATE",IF(AND(F26&lt;&gt;"",F26&lt;Assumptions!$B$5,G26=""),"STALE SCHEDULE","OK")))))))))</f>
        <v>OK</v>
      </c>
    </row>
    <row r="27" spans="1:9" ht="22" customHeight="1">
      <c r="A27" s="4" t="s">
        <v>184</v>
      </c>
      <c r="B27" s="6">
        <v>46296</v>
      </c>
      <c r="C27" s="4" t="s">
        <v>62</v>
      </c>
      <c r="D27" s="6">
        <v>46266</v>
      </c>
      <c r="E27" s="4" t="s">
        <v>162</v>
      </c>
      <c r="F27" s="6"/>
      <c r="G27" s="6"/>
      <c r="H27" s="4" t="s">
        <v>163</v>
      </c>
      <c r="I27" s="11" t="str">
        <f>IF(A27="",IF(COUNTA(B27:H27)&gt;0,"MISSING ID",""),IF(COUNTIFS($A$6:$A$205,A27)&lt;&gt;1,"DUPLICATE ID",IF(AND(C27&lt;&gt;"INITIAL",C27&lt;&gt;"RECON",C27&lt;&gt;"HEARING"),"UNKNOWN STAGE",IF(OR(NOT(ISNUMBER(B27)),B27&gt;Assumptions!$B$5),"INVALID SNAPSHOT",IF(OR(NOT(ISNUMBER(D27)),D27&gt;Assumptions!$B$5),"MISSING / FUTURE START",IF(COUNTIFS(Benchmarks!$A$6:$A$164,E27)&lt;&gt;1,"UNKNOWN OFFICE",IF(AND(F27&lt;&gt;"",OR(NOT(ISNUMBER(F27)),C27&lt;&gt;"HEARING")),"INVALID SCHEDULE",IF(AND(G27&lt;&gt;"",OR(NOT(ISNUMBER(G27)),G27&lt;Assumptions!$B$5)),"INVALID REVIEW DATE",IF(AND(F27&lt;&gt;"",F27&lt;Assumptions!$B$5,G27=""),"STALE SCHEDULE","OK")))))))))</f>
        <v>OK</v>
      </c>
    </row>
    <row r="28" spans="1:9" ht="22" customHeight="1">
      <c r="A28" s="4" t="s">
        <v>185</v>
      </c>
      <c r="B28" s="6">
        <v>46296</v>
      </c>
      <c r="C28" s="4" t="s">
        <v>62</v>
      </c>
      <c r="D28" s="6">
        <v>46266</v>
      </c>
      <c r="E28" s="4" t="s">
        <v>162</v>
      </c>
      <c r="F28" s="6"/>
      <c r="G28" s="6"/>
      <c r="H28" s="4" t="s">
        <v>163</v>
      </c>
      <c r="I28" s="11" t="str">
        <f>IF(A28="",IF(COUNTA(B28:H28)&gt;0,"MISSING ID",""),IF(COUNTIFS($A$6:$A$205,A28)&lt;&gt;1,"DUPLICATE ID",IF(AND(C28&lt;&gt;"INITIAL",C28&lt;&gt;"RECON",C28&lt;&gt;"HEARING"),"UNKNOWN STAGE",IF(OR(NOT(ISNUMBER(B28)),B28&gt;Assumptions!$B$5),"INVALID SNAPSHOT",IF(OR(NOT(ISNUMBER(D28)),D28&gt;Assumptions!$B$5),"MISSING / FUTURE START",IF(COUNTIFS(Benchmarks!$A$6:$A$164,E28)&lt;&gt;1,"UNKNOWN OFFICE",IF(AND(F28&lt;&gt;"",OR(NOT(ISNUMBER(F28)),C28&lt;&gt;"HEARING")),"INVALID SCHEDULE",IF(AND(G28&lt;&gt;"",OR(NOT(ISNUMBER(G28)),G28&lt;Assumptions!$B$5)),"INVALID REVIEW DATE",IF(AND(F28&lt;&gt;"",F28&lt;Assumptions!$B$5,G28=""),"STALE SCHEDULE","OK")))))))))</f>
        <v>OK</v>
      </c>
    </row>
    <row r="29" spans="1:9" ht="22" customHeight="1">
      <c r="A29" s="4" t="s">
        <v>186</v>
      </c>
      <c r="B29" s="6">
        <v>46296</v>
      </c>
      <c r="C29" s="4" t="s">
        <v>62</v>
      </c>
      <c r="D29" s="6">
        <v>46266</v>
      </c>
      <c r="E29" s="4" t="s">
        <v>162</v>
      </c>
      <c r="F29" s="6"/>
      <c r="G29" s="6"/>
      <c r="H29" s="4" t="s">
        <v>163</v>
      </c>
      <c r="I29" s="11" t="str">
        <f>IF(A29="",IF(COUNTA(B29:H29)&gt;0,"MISSING ID",""),IF(COUNTIFS($A$6:$A$205,A29)&lt;&gt;1,"DUPLICATE ID",IF(AND(C29&lt;&gt;"INITIAL",C29&lt;&gt;"RECON",C29&lt;&gt;"HEARING"),"UNKNOWN STAGE",IF(OR(NOT(ISNUMBER(B29)),B29&gt;Assumptions!$B$5),"INVALID SNAPSHOT",IF(OR(NOT(ISNUMBER(D29)),D29&gt;Assumptions!$B$5),"MISSING / FUTURE START",IF(COUNTIFS(Benchmarks!$A$6:$A$164,E29)&lt;&gt;1,"UNKNOWN OFFICE",IF(AND(F29&lt;&gt;"",OR(NOT(ISNUMBER(F29)),C29&lt;&gt;"HEARING")),"INVALID SCHEDULE",IF(AND(G29&lt;&gt;"",OR(NOT(ISNUMBER(G29)),G29&lt;Assumptions!$B$5)),"INVALID REVIEW DATE",IF(AND(F29&lt;&gt;"",F29&lt;Assumptions!$B$5,G29=""),"STALE SCHEDULE","OK")))))))))</f>
        <v>OK</v>
      </c>
    </row>
    <row r="30" spans="1:9" ht="22" customHeight="1">
      <c r="A30" s="4" t="s">
        <v>187</v>
      </c>
      <c r="B30" s="6">
        <v>46296</v>
      </c>
      <c r="C30" s="4" t="s">
        <v>62</v>
      </c>
      <c r="D30" s="6">
        <v>46266</v>
      </c>
      <c r="E30" s="4" t="s">
        <v>162</v>
      </c>
      <c r="F30" s="6"/>
      <c r="G30" s="6"/>
      <c r="H30" s="4" t="s">
        <v>163</v>
      </c>
      <c r="I30" s="11" t="str">
        <f>IF(A30="",IF(COUNTA(B30:H30)&gt;0,"MISSING ID",""),IF(COUNTIFS($A$6:$A$205,A30)&lt;&gt;1,"DUPLICATE ID",IF(AND(C30&lt;&gt;"INITIAL",C30&lt;&gt;"RECON",C30&lt;&gt;"HEARING"),"UNKNOWN STAGE",IF(OR(NOT(ISNUMBER(B30)),B30&gt;Assumptions!$B$5),"INVALID SNAPSHOT",IF(OR(NOT(ISNUMBER(D30)),D30&gt;Assumptions!$B$5),"MISSING / FUTURE START",IF(COUNTIFS(Benchmarks!$A$6:$A$164,E30)&lt;&gt;1,"UNKNOWN OFFICE",IF(AND(F30&lt;&gt;"",OR(NOT(ISNUMBER(F30)),C30&lt;&gt;"HEARING")),"INVALID SCHEDULE",IF(AND(G30&lt;&gt;"",OR(NOT(ISNUMBER(G30)),G30&lt;Assumptions!$B$5)),"INVALID REVIEW DATE",IF(AND(F30&lt;&gt;"",F30&lt;Assumptions!$B$5,G30=""),"STALE SCHEDULE","OK")))))))))</f>
        <v>OK</v>
      </c>
    </row>
    <row r="31" spans="1:9" ht="22" customHeight="1">
      <c r="A31" s="4" t="s">
        <v>188</v>
      </c>
      <c r="B31" s="6">
        <v>46296</v>
      </c>
      <c r="C31" s="4" t="s">
        <v>63</v>
      </c>
      <c r="D31" s="6">
        <v>46143</v>
      </c>
      <c r="E31" s="4" t="s">
        <v>162</v>
      </c>
      <c r="F31" s="6"/>
      <c r="G31" s="6"/>
      <c r="H31" s="4" t="s">
        <v>163</v>
      </c>
      <c r="I31" s="11" t="str">
        <f>IF(A31="",IF(COUNTA(B31:H31)&gt;0,"MISSING ID",""),IF(COUNTIFS($A$6:$A$205,A31)&lt;&gt;1,"DUPLICATE ID",IF(AND(C31&lt;&gt;"INITIAL",C31&lt;&gt;"RECON",C31&lt;&gt;"HEARING"),"UNKNOWN STAGE",IF(OR(NOT(ISNUMBER(B31)),B31&gt;Assumptions!$B$5),"INVALID SNAPSHOT",IF(OR(NOT(ISNUMBER(D31)),D31&gt;Assumptions!$B$5),"MISSING / FUTURE START",IF(COUNTIFS(Benchmarks!$A$6:$A$164,E31)&lt;&gt;1,"UNKNOWN OFFICE",IF(AND(F31&lt;&gt;"",OR(NOT(ISNUMBER(F31)),C31&lt;&gt;"HEARING")),"INVALID SCHEDULE",IF(AND(G31&lt;&gt;"",OR(NOT(ISNUMBER(G31)),G31&lt;Assumptions!$B$5)),"INVALID REVIEW DATE",IF(AND(F31&lt;&gt;"",F31&lt;Assumptions!$B$5,G31=""),"STALE SCHEDULE","OK")))))))))</f>
        <v>OK</v>
      </c>
    </row>
    <row r="32" spans="1:9" ht="22" customHeight="1">
      <c r="A32" s="4" t="s">
        <v>189</v>
      </c>
      <c r="B32" s="6">
        <v>46296</v>
      </c>
      <c r="C32" s="4" t="s">
        <v>63</v>
      </c>
      <c r="D32" s="6">
        <v>46143</v>
      </c>
      <c r="E32" s="4" t="s">
        <v>162</v>
      </c>
      <c r="F32" s="6"/>
      <c r="G32" s="6"/>
      <c r="H32" s="4" t="s">
        <v>163</v>
      </c>
      <c r="I32" s="11" t="str">
        <f>IF(A32="",IF(COUNTA(B32:H32)&gt;0,"MISSING ID",""),IF(COUNTIFS($A$6:$A$205,A32)&lt;&gt;1,"DUPLICATE ID",IF(AND(C32&lt;&gt;"INITIAL",C32&lt;&gt;"RECON",C32&lt;&gt;"HEARING"),"UNKNOWN STAGE",IF(OR(NOT(ISNUMBER(B32)),B32&gt;Assumptions!$B$5),"INVALID SNAPSHOT",IF(OR(NOT(ISNUMBER(D32)),D32&gt;Assumptions!$B$5),"MISSING / FUTURE START",IF(COUNTIFS(Benchmarks!$A$6:$A$164,E32)&lt;&gt;1,"UNKNOWN OFFICE",IF(AND(F32&lt;&gt;"",OR(NOT(ISNUMBER(F32)),C32&lt;&gt;"HEARING")),"INVALID SCHEDULE",IF(AND(G32&lt;&gt;"",OR(NOT(ISNUMBER(G32)),G32&lt;Assumptions!$B$5)),"INVALID REVIEW DATE",IF(AND(F32&lt;&gt;"",F32&lt;Assumptions!$B$5,G32=""),"STALE SCHEDULE","OK")))))))))</f>
        <v>OK</v>
      </c>
    </row>
    <row r="33" spans="1:9" ht="22" customHeight="1">
      <c r="A33" s="4" t="s">
        <v>190</v>
      </c>
      <c r="B33" s="6">
        <v>46296</v>
      </c>
      <c r="C33" s="4" t="s">
        <v>63</v>
      </c>
      <c r="D33" s="6">
        <v>46143</v>
      </c>
      <c r="E33" s="4" t="s">
        <v>162</v>
      </c>
      <c r="F33" s="6"/>
      <c r="G33" s="6"/>
      <c r="H33" s="4" t="s">
        <v>163</v>
      </c>
      <c r="I33" s="11" t="str">
        <f>IF(A33="",IF(COUNTA(B33:H33)&gt;0,"MISSING ID",""),IF(COUNTIFS($A$6:$A$205,A33)&lt;&gt;1,"DUPLICATE ID",IF(AND(C33&lt;&gt;"INITIAL",C33&lt;&gt;"RECON",C33&lt;&gt;"HEARING"),"UNKNOWN STAGE",IF(OR(NOT(ISNUMBER(B33)),B33&gt;Assumptions!$B$5),"INVALID SNAPSHOT",IF(OR(NOT(ISNUMBER(D33)),D33&gt;Assumptions!$B$5),"MISSING / FUTURE START",IF(COUNTIFS(Benchmarks!$A$6:$A$164,E33)&lt;&gt;1,"UNKNOWN OFFICE",IF(AND(F33&lt;&gt;"",OR(NOT(ISNUMBER(F33)),C33&lt;&gt;"HEARING")),"INVALID SCHEDULE",IF(AND(G33&lt;&gt;"",OR(NOT(ISNUMBER(G33)),G33&lt;Assumptions!$B$5)),"INVALID REVIEW DATE",IF(AND(F33&lt;&gt;"",F33&lt;Assumptions!$B$5,G33=""),"STALE SCHEDULE","OK")))))))))</f>
        <v>OK</v>
      </c>
    </row>
    <row r="34" spans="1:9" ht="22" customHeight="1">
      <c r="A34" s="4" t="s">
        <v>191</v>
      </c>
      <c r="B34" s="6">
        <v>46296</v>
      </c>
      <c r="C34" s="4" t="s">
        <v>63</v>
      </c>
      <c r="D34" s="6">
        <v>46143</v>
      </c>
      <c r="E34" s="4" t="s">
        <v>162</v>
      </c>
      <c r="F34" s="6"/>
      <c r="G34" s="6"/>
      <c r="H34" s="4" t="s">
        <v>163</v>
      </c>
      <c r="I34" s="11" t="str">
        <f>IF(A34="",IF(COUNTA(B34:H34)&gt;0,"MISSING ID",""),IF(COUNTIFS($A$6:$A$205,A34)&lt;&gt;1,"DUPLICATE ID",IF(AND(C34&lt;&gt;"INITIAL",C34&lt;&gt;"RECON",C34&lt;&gt;"HEARING"),"UNKNOWN STAGE",IF(OR(NOT(ISNUMBER(B34)),B34&gt;Assumptions!$B$5),"INVALID SNAPSHOT",IF(OR(NOT(ISNUMBER(D34)),D34&gt;Assumptions!$B$5),"MISSING / FUTURE START",IF(COUNTIFS(Benchmarks!$A$6:$A$164,E34)&lt;&gt;1,"UNKNOWN OFFICE",IF(AND(F34&lt;&gt;"",OR(NOT(ISNUMBER(F34)),C34&lt;&gt;"HEARING")),"INVALID SCHEDULE",IF(AND(G34&lt;&gt;"",OR(NOT(ISNUMBER(G34)),G34&lt;Assumptions!$B$5)),"INVALID REVIEW DATE",IF(AND(F34&lt;&gt;"",F34&lt;Assumptions!$B$5,G34=""),"STALE SCHEDULE","OK")))))))))</f>
        <v>OK</v>
      </c>
    </row>
    <row r="35" spans="1:9" ht="22" customHeight="1">
      <c r="A35" s="4" t="s">
        <v>192</v>
      </c>
      <c r="B35" s="6">
        <v>46296</v>
      </c>
      <c r="C35" s="4" t="s">
        <v>63</v>
      </c>
      <c r="D35" s="6">
        <v>46143</v>
      </c>
      <c r="E35" s="4" t="s">
        <v>162</v>
      </c>
      <c r="F35" s="6"/>
      <c r="G35" s="6"/>
      <c r="H35" s="4" t="s">
        <v>163</v>
      </c>
      <c r="I35" s="11" t="str">
        <f>IF(A35="",IF(COUNTA(B35:H35)&gt;0,"MISSING ID",""),IF(COUNTIFS($A$6:$A$205,A35)&lt;&gt;1,"DUPLICATE ID",IF(AND(C35&lt;&gt;"INITIAL",C35&lt;&gt;"RECON",C35&lt;&gt;"HEARING"),"UNKNOWN STAGE",IF(OR(NOT(ISNUMBER(B35)),B35&gt;Assumptions!$B$5),"INVALID SNAPSHOT",IF(OR(NOT(ISNUMBER(D35)),D35&gt;Assumptions!$B$5),"MISSING / FUTURE START",IF(COUNTIFS(Benchmarks!$A$6:$A$164,E35)&lt;&gt;1,"UNKNOWN OFFICE",IF(AND(F35&lt;&gt;"",OR(NOT(ISNUMBER(F35)),C35&lt;&gt;"HEARING")),"INVALID SCHEDULE",IF(AND(G35&lt;&gt;"",OR(NOT(ISNUMBER(G35)),G35&lt;Assumptions!$B$5)),"INVALID REVIEW DATE",IF(AND(F35&lt;&gt;"",F35&lt;Assumptions!$B$5,G35=""),"STALE SCHEDULE","OK")))))))))</f>
        <v>OK</v>
      </c>
    </row>
    <row r="36" spans="1:9" ht="22" customHeight="1">
      <c r="A36" s="4" t="s">
        <v>193</v>
      </c>
      <c r="B36" s="6">
        <v>46296</v>
      </c>
      <c r="C36" s="4" t="s">
        <v>63</v>
      </c>
      <c r="D36" s="6">
        <v>46143</v>
      </c>
      <c r="E36" s="4" t="s">
        <v>162</v>
      </c>
      <c r="F36" s="6"/>
      <c r="G36" s="6"/>
      <c r="H36" s="4" t="s">
        <v>163</v>
      </c>
      <c r="I36" s="11" t="str">
        <f>IF(A36="",IF(COUNTA(B36:H36)&gt;0,"MISSING ID",""),IF(COUNTIFS($A$6:$A$205,A36)&lt;&gt;1,"DUPLICATE ID",IF(AND(C36&lt;&gt;"INITIAL",C36&lt;&gt;"RECON",C36&lt;&gt;"HEARING"),"UNKNOWN STAGE",IF(OR(NOT(ISNUMBER(B36)),B36&gt;Assumptions!$B$5),"INVALID SNAPSHOT",IF(OR(NOT(ISNUMBER(D36)),D36&gt;Assumptions!$B$5),"MISSING / FUTURE START",IF(COUNTIFS(Benchmarks!$A$6:$A$164,E36)&lt;&gt;1,"UNKNOWN OFFICE",IF(AND(F36&lt;&gt;"",OR(NOT(ISNUMBER(F36)),C36&lt;&gt;"HEARING")),"INVALID SCHEDULE",IF(AND(G36&lt;&gt;"",OR(NOT(ISNUMBER(G36)),G36&lt;Assumptions!$B$5)),"INVALID REVIEW DATE",IF(AND(F36&lt;&gt;"",F36&lt;Assumptions!$B$5,G36=""),"STALE SCHEDULE","OK")))))))))</f>
        <v>OK</v>
      </c>
    </row>
    <row r="37" spans="1:9" ht="22" customHeight="1">
      <c r="A37" s="4" t="s">
        <v>194</v>
      </c>
      <c r="B37" s="6">
        <v>46296</v>
      </c>
      <c r="C37" s="4" t="s">
        <v>63</v>
      </c>
      <c r="D37" s="6">
        <v>46143</v>
      </c>
      <c r="E37" s="4" t="s">
        <v>162</v>
      </c>
      <c r="F37" s="6"/>
      <c r="G37" s="6"/>
      <c r="H37" s="4" t="s">
        <v>163</v>
      </c>
      <c r="I37" s="11" t="str">
        <f>IF(A37="",IF(COUNTA(B37:H37)&gt;0,"MISSING ID",""),IF(COUNTIFS($A$6:$A$205,A37)&lt;&gt;1,"DUPLICATE ID",IF(AND(C37&lt;&gt;"INITIAL",C37&lt;&gt;"RECON",C37&lt;&gt;"HEARING"),"UNKNOWN STAGE",IF(OR(NOT(ISNUMBER(B37)),B37&gt;Assumptions!$B$5),"INVALID SNAPSHOT",IF(OR(NOT(ISNUMBER(D37)),D37&gt;Assumptions!$B$5),"MISSING / FUTURE START",IF(COUNTIFS(Benchmarks!$A$6:$A$164,E37)&lt;&gt;1,"UNKNOWN OFFICE",IF(AND(F37&lt;&gt;"",OR(NOT(ISNUMBER(F37)),C37&lt;&gt;"HEARING")),"INVALID SCHEDULE",IF(AND(G37&lt;&gt;"",OR(NOT(ISNUMBER(G37)),G37&lt;Assumptions!$B$5)),"INVALID REVIEW DATE",IF(AND(F37&lt;&gt;"",F37&lt;Assumptions!$B$5,G37=""),"STALE SCHEDULE","OK")))))))))</f>
        <v>OK</v>
      </c>
    </row>
    <row r="38" spans="1:9" ht="22" customHeight="1">
      <c r="A38" s="4" t="s">
        <v>195</v>
      </c>
      <c r="B38" s="6">
        <v>46296</v>
      </c>
      <c r="C38" s="4" t="s">
        <v>63</v>
      </c>
      <c r="D38" s="6">
        <v>46143</v>
      </c>
      <c r="E38" s="4" t="s">
        <v>162</v>
      </c>
      <c r="F38" s="6"/>
      <c r="G38" s="6"/>
      <c r="H38" s="4" t="s">
        <v>163</v>
      </c>
      <c r="I38" s="11" t="str">
        <f>IF(A38="",IF(COUNTA(B38:H38)&gt;0,"MISSING ID",""),IF(COUNTIFS($A$6:$A$205,A38)&lt;&gt;1,"DUPLICATE ID",IF(AND(C38&lt;&gt;"INITIAL",C38&lt;&gt;"RECON",C38&lt;&gt;"HEARING"),"UNKNOWN STAGE",IF(OR(NOT(ISNUMBER(B38)),B38&gt;Assumptions!$B$5),"INVALID SNAPSHOT",IF(OR(NOT(ISNUMBER(D38)),D38&gt;Assumptions!$B$5),"MISSING / FUTURE START",IF(COUNTIFS(Benchmarks!$A$6:$A$164,E38)&lt;&gt;1,"UNKNOWN OFFICE",IF(AND(F38&lt;&gt;"",OR(NOT(ISNUMBER(F38)),C38&lt;&gt;"HEARING")),"INVALID SCHEDULE",IF(AND(G38&lt;&gt;"",OR(NOT(ISNUMBER(G38)),G38&lt;Assumptions!$B$5)),"INVALID REVIEW DATE",IF(AND(F38&lt;&gt;"",F38&lt;Assumptions!$B$5,G38=""),"STALE SCHEDULE","OK")))))))))</f>
        <v>OK</v>
      </c>
    </row>
    <row r="39" spans="1:9" ht="22" customHeight="1">
      <c r="A39" s="4" t="s">
        <v>196</v>
      </c>
      <c r="B39" s="6">
        <v>46296</v>
      </c>
      <c r="C39" s="4" t="s">
        <v>63</v>
      </c>
      <c r="D39" s="6">
        <v>46143</v>
      </c>
      <c r="E39" s="4" t="s">
        <v>162</v>
      </c>
      <c r="F39" s="6"/>
      <c r="G39" s="6"/>
      <c r="H39" s="4" t="s">
        <v>163</v>
      </c>
      <c r="I39" s="11" t="str">
        <f>IF(A39="",IF(COUNTA(B39:H39)&gt;0,"MISSING ID",""),IF(COUNTIFS($A$6:$A$205,A39)&lt;&gt;1,"DUPLICATE ID",IF(AND(C39&lt;&gt;"INITIAL",C39&lt;&gt;"RECON",C39&lt;&gt;"HEARING"),"UNKNOWN STAGE",IF(OR(NOT(ISNUMBER(B39)),B39&gt;Assumptions!$B$5),"INVALID SNAPSHOT",IF(OR(NOT(ISNUMBER(D39)),D39&gt;Assumptions!$B$5),"MISSING / FUTURE START",IF(COUNTIFS(Benchmarks!$A$6:$A$164,E39)&lt;&gt;1,"UNKNOWN OFFICE",IF(AND(F39&lt;&gt;"",OR(NOT(ISNUMBER(F39)),C39&lt;&gt;"HEARING")),"INVALID SCHEDULE",IF(AND(G39&lt;&gt;"",OR(NOT(ISNUMBER(G39)),G39&lt;Assumptions!$B$5)),"INVALID REVIEW DATE",IF(AND(F39&lt;&gt;"",F39&lt;Assumptions!$B$5,G39=""),"STALE SCHEDULE","OK")))))))))</f>
        <v>OK</v>
      </c>
    </row>
    <row r="40" spans="1:9" ht="22" customHeight="1">
      <c r="A40" s="4" t="s">
        <v>197</v>
      </c>
      <c r="B40" s="6">
        <v>46296</v>
      </c>
      <c r="C40" s="4" t="s">
        <v>63</v>
      </c>
      <c r="D40" s="6">
        <v>46143</v>
      </c>
      <c r="E40" s="4" t="s">
        <v>162</v>
      </c>
      <c r="F40" s="6"/>
      <c r="G40" s="6"/>
      <c r="H40" s="4" t="s">
        <v>163</v>
      </c>
      <c r="I40" s="11" t="str">
        <f>IF(A40="",IF(COUNTA(B40:H40)&gt;0,"MISSING ID",""),IF(COUNTIFS($A$6:$A$205,A40)&lt;&gt;1,"DUPLICATE ID",IF(AND(C40&lt;&gt;"INITIAL",C40&lt;&gt;"RECON",C40&lt;&gt;"HEARING"),"UNKNOWN STAGE",IF(OR(NOT(ISNUMBER(B40)),B40&gt;Assumptions!$B$5),"INVALID SNAPSHOT",IF(OR(NOT(ISNUMBER(D40)),D40&gt;Assumptions!$B$5),"MISSING / FUTURE START",IF(COUNTIFS(Benchmarks!$A$6:$A$164,E40)&lt;&gt;1,"UNKNOWN OFFICE",IF(AND(F40&lt;&gt;"",OR(NOT(ISNUMBER(F40)),C40&lt;&gt;"HEARING")),"INVALID SCHEDULE",IF(AND(G40&lt;&gt;"",OR(NOT(ISNUMBER(G40)),G40&lt;Assumptions!$B$5)),"INVALID REVIEW DATE",IF(AND(F40&lt;&gt;"",F40&lt;Assumptions!$B$5,G40=""),"STALE SCHEDULE","OK")))))))))</f>
        <v>OK</v>
      </c>
    </row>
    <row r="41" spans="1:9" ht="22" customHeight="1">
      <c r="A41" s="4" t="s">
        <v>198</v>
      </c>
      <c r="B41" s="6">
        <v>46296</v>
      </c>
      <c r="C41" s="4" t="s">
        <v>63</v>
      </c>
      <c r="D41" s="6">
        <v>46174</v>
      </c>
      <c r="E41" s="4" t="s">
        <v>162</v>
      </c>
      <c r="F41" s="6"/>
      <c r="G41" s="6"/>
      <c r="H41" s="4" t="s">
        <v>163</v>
      </c>
      <c r="I41" s="11" t="str">
        <f>IF(A41="",IF(COUNTA(B41:H41)&gt;0,"MISSING ID",""),IF(COUNTIFS($A$6:$A$205,A41)&lt;&gt;1,"DUPLICATE ID",IF(AND(C41&lt;&gt;"INITIAL",C41&lt;&gt;"RECON",C41&lt;&gt;"HEARING"),"UNKNOWN STAGE",IF(OR(NOT(ISNUMBER(B41)),B41&gt;Assumptions!$B$5),"INVALID SNAPSHOT",IF(OR(NOT(ISNUMBER(D41)),D41&gt;Assumptions!$B$5),"MISSING / FUTURE START",IF(COUNTIFS(Benchmarks!$A$6:$A$164,E41)&lt;&gt;1,"UNKNOWN OFFICE",IF(AND(F41&lt;&gt;"",OR(NOT(ISNUMBER(F41)),C41&lt;&gt;"HEARING")),"INVALID SCHEDULE",IF(AND(G41&lt;&gt;"",OR(NOT(ISNUMBER(G41)),G41&lt;Assumptions!$B$5)),"INVALID REVIEW DATE",IF(AND(F41&lt;&gt;"",F41&lt;Assumptions!$B$5,G41=""),"STALE SCHEDULE","OK")))))))))</f>
        <v>OK</v>
      </c>
    </row>
    <row r="42" spans="1:9" ht="22" customHeight="1">
      <c r="A42" s="4" t="s">
        <v>199</v>
      </c>
      <c r="B42" s="6">
        <v>46296</v>
      </c>
      <c r="C42" s="4" t="s">
        <v>63</v>
      </c>
      <c r="D42" s="6">
        <v>46174</v>
      </c>
      <c r="E42" s="4" t="s">
        <v>162</v>
      </c>
      <c r="F42" s="6"/>
      <c r="G42" s="6"/>
      <c r="H42" s="4" t="s">
        <v>163</v>
      </c>
      <c r="I42" s="11" t="str">
        <f>IF(A42="",IF(COUNTA(B42:H42)&gt;0,"MISSING ID",""),IF(COUNTIFS($A$6:$A$205,A42)&lt;&gt;1,"DUPLICATE ID",IF(AND(C42&lt;&gt;"INITIAL",C42&lt;&gt;"RECON",C42&lt;&gt;"HEARING"),"UNKNOWN STAGE",IF(OR(NOT(ISNUMBER(B42)),B42&gt;Assumptions!$B$5),"INVALID SNAPSHOT",IF(OR(NOT(ISNUMBER(D42)),D42&gt;Assumptions!$B$5),"MISSING / FUTURE START",IF(COUNTIFS(Benchmarks!$A$6:$A$164,E42)&lt;&gt;1,"UNKNOWN OFFICE",IF(AND(F42&lt;&gt;"",OR(NOT(ISNUMBER(F42)),C42&lt;&gt;"HEARING")),"INVALID SCHEDULE",IF(AND(G42&lt;&gt;"",OR(NOT(ISNUMBER(G42)),G42&lt;Assumptions!$B$5)),"INVALID REVIEW DATE",IF(AND(F42&lt;&gt;"",F42&lt;Assumptions!$B$5,G42=""),"STALE SCHEDULE","OK")))))))))</f>
        <v>OK</v>
      </c>
    </row>
    <row r="43" spans="1:9" ht="22" customHeight="1">
      <c r="A43" s="4" t="s">
        <v>200</v>
      </c>
      <c r="B43" s="6">
        <v>46296</v>
      </c>
      <c r="C43" s="4" t="s">
        <v>63</v>
      </c>
      <c r="D43" s="6">
        <v>46174</v>
      </c>
      <c r="E43" s="4" t="s">
        <v>162</v>
      </c>
      <c r="F43" s="6"/>
      <c r="G43" s="6"/>
      <c r="H43" s="4" t="s">
        <v>163</v>
      </c>
      <c r="I43" s="11" t="str">
        <f>IF(A43="",IF(COUNTA(B43:H43)&gt;0,"MISSING ID",""),IF(COUNTIFS($A$6:$A$205,A43)&lt;&gt;1,"DUPLICATE ID",IF(AND(C43&lt;&gt;"INITIAL",C43&lt;&gt;"RECON",C43&lt;&gt;"HEARING"),"UNKNOWN STAGE",IF(OR(NOT(ISNUMBER(B43)),B43&gt;Assumptions!$B$5),"INVALID SNAPSHOT",IF(OR(NOT(ISNUMBER(D43)),D43&gt;Assumptions!$B$5),"MISSING / FUTURE START",IF(COUNTIFS(Benchmarks!$A$6:$A$164,E43)&lt;&gt;1,"UNKNOWN OFFICE",IF(AND(F43&lt;&gt;"",OR(NOT(ISNUMBER(F43)),C43&lt;&gt;"HEARING")),"INVALID SCHEDULE",IF(AND(G43&lt;&gt;"",OR(NOT(ISNUMBER(G43)),G43&lt;Assumptions!$B$5)),"INVALID REVIEW DATE",IF(AND(F43&lt;&gt;"",F43&lt;Assumptions!$B$5,G43=""),"STALE SCHEDULE","OK")))))))))</f>
        <v>OK</v>
      </c>
    </row>
    <row r="44" spans="1:9" ht="22" customHeight="1">
      <c r="A44" s="4" t="s">
        <v>201</v>
      </c>
      <c r="B44" s="6">
        <v>46296</v>
      </c>
      <c r="C44" s="4" t="s">
        <v>63</v>
      </c>
      <c r="D44" s="6">
        <v>46174</v>
      </c>
      <c r="E44" s="4" t="s">
        <v>162</v>
      </c>
      <c r="F44" s="6"/>
      <c r="G44" s="6"/>
      <c r="H44" s="4" t="s">
        <v>163</v>
      </c>
      <c r="I44" s="11" t="str">
        <f>IF(A44="",IF(COUNTA(B44:H44)&gt;0,"MISSING ID",""),IF(COUNTIFS($A$6:$A$205,A44)&lt;&gt;1,"DUPLICATE ID",IF(AND(C44&lt;&gt;"INITIAL",C44&lt;&gt;"RECON",C44&lt;&gt;"HEARING"),"UNKNOWN STAGE",IF(OR(NOT(ISNUMBER(B44)),B44&gt;Assumptions!$B$5),"INVALID SNAPSHOT",IF(OR(NOT(ISNUMBER(D44)),D44&gt;Assumptions!$B$5),"MISSING / FUTURE START",IF(COUNTIFS(Benchmarks!$A$6:$A$164,E44)&lt;&gt;1,"UNKNOWN OFFICE",IF(AND(F44&lt;&gt;"",OR(NOT(ISNUMBER(F44)),C44&lt;&gt;"HEARING")),"INVALID SCHEDULE",IF(AND(G44&lt;&gt;"",OR(NOT(ISNUMBER(G44)),G44&lt;Assumptions!$B$5)),"INVALID REVIEW DATE",IF(AND(F44&lt;&gt;"",F44&lt;Assumptions!$B$5,G44=""),"STALE SCHEDULE","OK")))))))))</f>
        <v>OK</v>
      </c>
    </row>
    <row r="45" spans="1:9" ht="22" customHeight="1">
      <c r="A45" s="4" t="s">
        <v>202</v>
      </c>
      <c r="B45" s="6">
        <v>46296</v>
      </c>
      <c r="C45" s="4" t="s">
        <v>63</v>
      </c>
      <c r="D45" s="6">
        <v>46174</v>
      </c>
      <c r="E45" s="4" t="s">
        <v>162</v>
      </c>
      <c r="F45" s="6"/>
      <c r="G45" s="6"/>
      <c r="H45" s="4" t="s">
        <v>163</v>
      </c>
      <c r="I45" s="11" t="str">
        <f>IF(A45="",IF(COUNTA(B45:H45)&gt;0,"MISSING ID",""),IF(COUNTIFS($A$6:$A$205,A45)&lt;&gt;1,"DUPLICATE ID",IF(AND(C45&lt;&gt;"INITIAL",C45&lt;&gt;"RECON",C45&lt;&gt;"HEARING"),"UNKNOWN STAGE",IF(OR(NOT(ISNUMBER(B45)),B45&gt;Assumptions!$B$5),"INVALID SNAPSHOT",IF(OR(NOT(ISNUMBER(D45)),D45&gt;Assumptions!$B$5),"MISSING / FUTURE START",IF(COUNTIFS(Benchmarks!$A$6:$A$164,E45)&lt;&gt;1,"UNKNOWN OFFICE",IF(AND(F45&lt;&gt;"",OR(NOT(ISNUMBER(F45)),C45&lt;&gt;"HEARING")),"INVALID SCHEDULE",IF(AND(G45&lt;&gt;"",OR(NOT(ISNUMBER(G45)),G45&lt;Assumptions!$B$5)),"INVALID REVIEW DATE",IF(AND(F45&lt;&gt;"",F45&lt;Assumptions!$B$5,G45=""),"STALE SCHEDULE","OK")))))))))</f>
        <v>OK</v>
      </c>
    </row>
    <row r="46" spans="1:9" ht="22" customHeight="1">
      <c r="A46" s="4" t="s">
        <v>203</v>
      </c>
      <c r="B46" s="6">
        <v>46296</v>
      </c>
      <c r="C46" s="4" t="s">
        <v>63</v>
      </c>
      <c r="D46" s="6">
        <v>46174</v>
      </c>
      <c r="E46" s="4" t="s">
        <v>162</v>
      </c>
      <c r="F46" s="6"/>
      <c r="G46" s="6"/>
      <c r="H46" s="4" t="s">
        <v>163</v>
      </c>
      <c r="I46" s="11" t="str">
        <f>IF(A46="",IF(COUNTA(B46:H46)&gt;0,"MISSING ID",""),IF(COUNTIFS($A$6:$A$205,A46)&lt;&gt;1,"DUPLICATE ID",IF(AND(C46&lt;&gt;"INITIAL",C46&lt;&gt;"RECON",C46&lt;&gt;"HEARING"),"UNKNOWN STAGE",IF(OR(NOT(ISNUMBER(B46)),B46&gt;Assumptions!$B$5),"INVALID SNAPSHOT",IF(OR(NOT(ISNUMBER(D46)),D46&gt;Assumptions!$B$5),"MISSING / FUTURE START",IF(COUNTIFS(Benchmarks!$A$6:$A$164,E46)&lt;&gt;1,"UNKNOWN OFFICE",IF(AND(F46&lt;&gt;"",OR(NOT(ISNUMBER(F46)),C46&lt;&gt;"HEARING")),"INVALID SCHEDULE",IF(AND(G46&lt;&gt;"",OR(NOT(ISNUMBER(G46)),G46&lt;Assumptions!$B$5)),"INVALID REVIEW DATE",IF(AND(F46&lt;&gt;"",F46&lt;Assumptions!$B$5,G46=""),"STALE SCHEDULE","OK")))))))))</f>
        <v>OK</v>
      </c>
    </row>
    <row r="47" spans="1:9" ht="22" customHeight="1">
      <c r="A47" s="4" t="s">
        <v>204</v>
      </c>
      <c r="B47" s="6">
        <v>46296</v>
      </c>
      <c r="C47" s="4" t="s">
        <v>63</v>
      </c>
      <c r="D47" s="6">
        <v>46174</v>
      </c>
      <c r="E47" s="4" t="s">
        <v>162</v>
      </c>
      <c r="F47" s="6"/>
      <c r="G47" s="6"/>
      <c r="H47" s="4" t="s">
        <v>163</v>
      </c>
      <c r="I47" s="11" t="str">
        <f>IF(A47="",IF(COUNTA(B47:H47)&gt;0,"MISSING ID",""),IF(COUNTIFS($A$6:$A$205,A47)&lt;&gt;1,"DUPLICATE ID",IF(AND(C47&lt;&gt;"INITIAL",C47&lt;&gt;"RECON",C47&lt;&gt;"HEARING"),"UNKNOWN STAGE",IF(OR(NOT(ISNUMBER(B47)),B47&gt;Assumptions!$B$5),"INVALID SNAPSHOT",IF(OR(NOT(ISNUMBER(D47)),D47&gt;Assumptions!$B$5),"MISSING / FUTURE START",IF(COUNTIFS(Benchmarks!$A$6:$A$164,E47)&lt;&gt;1,"UNKNOWN OFFICE",IF(AND(F47&lt;&gt;"",OR(NOT(ISNUMBER(F47)),C47&lt;&gt;"HEARING")),"INVALID SCHEDULE",IF(AND(G47&lt;&gt;"",OR(NOT(ISNUMBER(G47)),G47&lt;Assumptions!$B$5)),"INVALID REVIEW DATE",IF(AND(F47&lt;&gt;"",F47&lt;Assumptions!$B$5,G47=""),"STALE SCHEDULE","OK")))))))))</f>
        <v>OK</v>
      </c>
    </row>
    <row r="48" spans="1:9" ht="22" customHeight="1">
      <c r="A48" s="4" t="s">
        <v>205</v>
      </c>
      <c r="B48" s="6">
        <v>46296</v>
      </c>
      <c r="C48" s="4" t="s">
        <v>63</v>
      </c>
      <c r="D48" s="6">
        <v>46174</v>
      </c>
      <c r="E48" s="4" t="s">
        <v>162</v>
      </c>
      <c r="F48" s="6"/>
      <c r="G48" s="6"/>
      <c r="H48" s="4" t="s">
        <v>163</v>
      </c>
      <c r="I48" s="11" t="str">
        <f>IF(A48="",IF(COUNTA(B48:H48)&gt;0,"MISSING ID",""),IF(COUNTIFS($A$6:$A$205,A48)&lt;&gt;1,"DUPLICATE ID",IF(AND(C48&lt;&gt;"INITIAL",C48&lt;&gt;"RECON",C48&lt;&gt;"HEARING"),"UNKNOWN STAGE",IF(OR(NOT(ISNUMBER(B48)),B48&gt;Assumptions!$B$5),"INVALID SNAPSHOT",IF(OR(NOT(ISNUMBER(D48)),D48&gt;Assumptions!$B$5),"MISSING / FUTURE START",IF(COUNTIFS(Benchmarks!$A$6:$A$164,E48)&lt;&gt;1,"UNKNOWN OFFICE",IF(AND(F48&lt;&gt;"",OR(NOT(ISNUMBER(F48)),C48&lt;&gt;"HEARING")),"INVALID SCHEDULE",IF(AND(G48&lt;&gt;"",OR(NOT(ISNUMBER(G48)),G48&lt;Assumptions!$B$5)),"INVALID REVIEW DATE",IF(AND(F48&lt;&gt;"",F48&lt;Assumptions!$B$5,G48=""),"STALE SCHEDULE","OK")))))))))</f>
        <v>OK</v>
      </c>
    </row>
    <row r="49" spans="1:9" ht="22" customHeight="1">
      <c r="A49" s="4" t="s">
        <v>206</v>
      </c>
      <c r="B49" s="6">
        <v>46296</v>
      </c>
      <c r="C49" s="4" t="s">
        <v>63</v>
      </c>
      <c r="D49" s="6">
        <v>46174</v>
      </c>
      <c r="E49" s="4" t="s">
        <v>162</v>
      </c>
      <c r="F49" s="6"/>
      <c r="G49" s="6"/>
      <c r="H49" s="4" t="s">
        <v>163</v>
      </c>
      <c r="I49" s="11" t="str">
        <f>IF(A49="",IF(COUNTA(B49:H49)&gt;0,"MISSING ID",""),IF(COUNTIFS($A$6:$A$205,A49)&lt;&gt;1,"DUPLICATE ID",IF(AND(C49&lt;&gt;"INITIAL",C49&lt;&gt;"RECON",C49&lt;&gt;"HEARING"),"UNKNOWN STAGE",IF(OR(NOT(ISNUMBER(B49)),B49&gt;Assumptions!$B$5),"INVALID SNAPSHOT",IF(OR(NOT(ISNUMBER(D49)),D49&gt;Assumptions!$B$5),"MISSING / FUTURE START",IF(COUNTIFS(Benchmarks!$A$6:$A$164,E49)&lt;&gt;1,"UNKNOWN OFFICE",IF(AND(F49&lt;&gt;"",OR(NOT(ISNUMBER(F49)),C49&lt;&gt;"HEARING")),"INVALID SCHEDULE",IF(AND(G49&lt;&gt;"",OR(NOT(ISNUMBER(G49)),G49&lt;Assumptions!$B$5)),"INVALID REVIEW DATE",IF(AND(F49&lt;&gt;"",F49&lt;Assumptions!$B$5,G49=""),"STALE SCHEDULE","OK")))))))))</f>
        <v>OK</v>
      </c>
    </row>
    <row r="50" spans="1:9" ht="22" customHeight="1">
      <c r="A50" s="4" t="s">
        <v>207</v>
      </c>
      <c r="B50" s="6">
        <v>46296</v>
      </c>
      <c r="C50" s="4" t="s">
        <v>63</v>
      </c>
      <c r="D50" s="6">
        <v>46174</v>
      </c>
      <c r="E50" s="4" t="s">
        <v>162</v>
      </c>
      <c r="F50" s="6"/>
      <c r="G50" s="6"/>
      <c r="H50" s="4" t="s">
        <v>163</v>
      </c>
      <c r="I50" s="11" t="str">
        <f>IF(A50="",IF(COUNTA(B50:H50)&gt;0,"MISSING ID",""),IF(COUNTIFS($A$6:$A$205,A50)&lt;&gt;1,"DUPLICATE ID",IF(AND(C50&lt;&gt;"INITIAL",C50&lt;&gt;"RECON",C50&lt;&gt;"HEARING"),"UNKNOWN STAGE",IF(OR(NOT(ISNUMBER(B50)),B50&gt;Assumptions!$B$5),"INVALID SNAPSHOT",IF(OR(NOT(ISNUMBER(D50)),D50&gt;Assumptions!$B$5),"MISSING / FUTURE START",IF(COUNTIFS(Benchmarks!$A$6:$A$164,E50)&lt;&gt;1,"UNKNOWN OFFICE",IF(AND(F50&lt;&gt;"",OR(NOT(ISNUMBER(F50)),C50&lt;&gt;"HEARING")),"INVALID SCHEDULE",IF(AND(G50&lt;&gt;"",OR(NOT(ISNUMBER(G50)),G50&lt;Assumptions!$B$5)),"INVALID REVIEW DATE",IF(AND(F50&lt;&gt;"",F50&lt;Assumptions!$B$5,G50=""),"STALE SCHEDULE","OK")))))))))</f>
        <v>OK</v>
      </c>
    </row>
    <row r="51" spans="1:9" ht="22" customHeight="1">
      <c r="A51" s="4" t="s">
        <v>208</v>
      </c>
      <c r="B51" s="6">
        <v>46296</v>
      </c>
      <c r="C51" s="4" t="s">
        <v>63</v>
      </c>
      <c r="D51" s="6">
        <v>46204</v>
      </c>
      <c r="E51" s="4" t="s">
        <v>162</v>
      </c>
      <c r="F51" s="6"/>
      <c r="G51" s="6"/>
      <c r="H51" s="4" t="s">
        <v>163</v>
      </c>
      <c r="I51" s="11" t="str">
        <f>IF(A51="",IF(COUNTA(B51:H51)&gt;0,"MISSING ID",""),IF(COUNTIFS($A$6:$A$205,A51)&lt;&gt;1,"DUPLICATE ID",IF(AND(C51&lt;&gt;"INITIAL",C51&lt;&gt;"RECON",C51&lt;&gt;"HEARING"),"UNKNOWN STAGE",IF(OR(NOT(ISNUMBER(B51)),B51&gt;Assumptions!$B$5),"INVALID SNAPSHOT",IF(OR(NOT(ISNUMBER(D51)),D51&gt;Assumptions!$B$5),"MISSING / FUTURE START",IF(COUNTIFS(Benchmarks!$A$6:$A$164,E51)&lt;&gt;1,"UNKNOWN OFFICE",IF(AND(F51&lt;&gt;"",OR(NOT(ISNUMBER(F51)),C51&lt;&gt;"HEARING")),"INVALID SCHEDULE",IF(AND(G51&lt;&gt;"",OR(NOT(ISNUMBER(G51)),G51&lt;Assumptions!$B$5)),"INVALID REVIEW DATE",IF(AND(F51&lt;&gt;"",F51&lt;Assumptions!$B$5,G51=""),"STALE SCHEDULE","OK")))))))))</f>
        <v>OK</v>
      </c>
    </row>
    <row r="52" spans="1:9" ht="22" customHeight="1">
      <c r="A52" s="4" t="s">
        <v>209</v>
      </c>
      <c r="B52" s="6">
        <v>46296</v>
      </c>
      <c r="C52" s="4" t="s">
        <v>63</v>
      </c>
      <c r="D52" s="6">
        <v>46204</v>
      </c>
      <c r="E52" s="4" t="s">
        <v>162</v>
      </c>
      <c r="F52" s="6"/>
      <c r="G52" s="6"/>
      <c r="H52" s="4" t="s">
        <v>163</v>
      </c>
      <c r="I52" s="11" t="str">
        <f>IF(A52="",IF(COUNTA(B52:H52)&gt;0,"MISSING ID",""),IF(COUNTIFS($A$6:$A$205,A52)&lt;&gt;1,"DUPLICATE ID",IF(AND(C52&lt;&gt;"INITIAL",C52&lt;&gt;"RECON",C52&lt;&gt;"HEARING"),"UNKNOWN STAGE",IF(OR(NOT(ISNUMBER(B52)),B52&gt;Assumptions!$B$5),"INVALID SNAPSHOT",IF(OR(NOT(ISNUMBER(D52)),D52&gt;Assumptions!$B$5),"MISSING / FUTURE START",IF(COUNTIFS(Benchmarks!$A$6:$A$164,E52)&lt;&gt;1,"UNKNOWN OFFICE",IF(AND(F52&lt;&gt;"",OR(NOT(ISNUMBER(F52)),C52&lt;&gt;"HEARING")),"INVALID SCHEDULE",IF(AND(G52&lt;&gt;"",OR(NOT(ISNUMBER(G52)),G52&lt;Assumptions!$B$5)),"INVALID REVIEW DATE",IF(AND(F52&lt;&gt;"",F52&lt;Assumptions!$B$5,G52=""),"STALE SCHEDULE","OK")))))))))</f>
        <v>OK</v>
      </c>
    </row>
    <row r="53" spans="1:9" ht="22" customHeight="1">
      <c r="A53" s="4" t="s">
        <v>210</v>
      </c>
      <c r="B53" s="6">
        <v>46296</v>
      </c>
      <c r="C53" s="4" t="s">
        <v>63</v>
      </c>
      <c r="D53" s="6">
        <v>46204</v>
      </c>
      <c r="E53" s="4" t="s">
        <v>162</v>
      </c>
      <c r="F53" s="6"/>
      <c r="G53" s="6"/>
      <c r="H53" s="4" t="s">
        <v>163</v>
      </c>
      <c r="I53" s="11" t="str">
        <f>IF(A53="",IF(COUNTA(B53:H53)&gt;0,"MISSING ID",""),IF(COUNTIFS($A$6:$A$205,A53)&lt;&gt;1,"DUPLICATE ID",IF(AND(C53&lt;&gt;"INITIAL",C53&lt;&gt;"RECON",C53&lt;&gt;"HEARING"),"UNKNOWN STAGE",IF(OR(NOT(ISNUMBER(B53)),B53&gt;Assumptions!$B$5),"INVALID SNAPSHOT",IF(OR(NOT(ISNUMBER(D53)),D53&gt;Assumptions!$B$5),"MISSING / FUTURE START",IF(COUNTIFS(Benchmarks!$A$6:$A$164,E53)&lt;&gt;1,"UNKNOWN OFFICE",IF(AND(F53&lt;&gt;"",OR(NOT(ISNUMBER(F53)),C53&lt;&gt;"HEARING")),"INVALID SCHEDULE",IF(AND(G53&lt;&gt;"",OR(NOT(ISNUMBER(G53)),G53&lt;Assumptions!$B$5)),"INVALID REVIEW DATE",IF(AND(F53&lt;&gt;"",F53&lt;Assumptions!$B$5,G53=""),"STALE SCHEDULE","OK")))))))))</f>
        <v>OK</v>
      </c>
    </row>
    <row r="54" spans="1:9" ht="22" customHeight="1">
      <c r="A54" s="4" t="s">
        <v>211</v>
      </c>
      <c r="B54" s="6">
        <v>46296</v>
      </c>
      <c r="C54" s="4" t="s">
        <v>63</v>
      </c>
      <c r="D54" s="6">
        <v>46204</v>
      </c>
      <c r="E54" s="4" t="s">
        <v>162</v>
      </c>
      <c r="F54" s="6"/>
      <c r="G54" s="6"/>
      <c r="H54" s="4" t="s">
        <v>163</v>
      </c>
      <c r="I54" s="11" t="str">
        <f>IF(A54="",IF(COUNTA(B54:H54)&gt;0,"MISSING ID",""),IF(COUNTIFS($A$6:$A$205,A54)&lt;&gt;1,"DUPLICATE ID",IF(AND(C54&lt;&gt;"INITIAL",C54&lt;&gt;"RECON",C54&lt;&gt;"HEARING"),"UNKNOWN STAGE",IF(OR(NOT(ISNUMBER(B54)),B54&gt;Assumptions!$B$5),"INVALID SNAPSHOT",IF(OR(NOT(ISNUMBER(D54)),D54&gt;Assumptions!$B$5),"MISSING / FUTURE START",IF(COUNTIFS(Benchmarks!$A$6:$A$164,E54)&lt;&gt;1,"UNKNOWN OFFICE",IF(AND(F54&lt;&gt;"",OR(NOT(ISNUMBER(F54)),C54&lt;&gt;"HEARING")),"INVALID SCHEDULE",IF(AND(G54&lt;&gt;"",OR(NOT(ISNUMBER(G54)),G54&lt;Assumptions!$B$5)),"INVALID REVIEW DATE",IF(AND(F54&lt;&gt;"",F54&lt;Assumptions!$B$5,G54=""),"STALE SCHEDULE","OK")))))))))</f>
        <v>OK</v>
      </c>
    </row>
    <row r="55" spans="1:9" ht="22" customHeight="1">
      <c r="A55" s="4" t="s">
        <v>212</v>
      </c>
      <c r="B55" s="6">
        <v>46296</v>
      </c>
      <c r="C55" s="4" t="s">
        <v>63</v>
      </c>
      <c r="D55" s="6">
        <v>46204</v>
      </c>
      <c r="E55" s="4" t="s">
        <v>162</v>
      </c>
      <c r="F55" s="6"/>
      <c r="G55" s="6"/>
      <c r="H55" s="4" t="s">
        <v>163</v>
      </c>
      <c r="I55" s="11" t="str">
        <f>IF(A55="",IF(COUNTA(B55:H55)&gt;0,"MISSING ID",""),IF(COUNTIFS($A$6:$A$205,A55)&lt;&gt;1,"DUPLICATE ID",IF(AND(C55&lt;&gt;"INITIAL",C55&lt;&gt;"RECON",C55&lt;&gt;"HEARING"),"UNKNOWN STAGE",IF(OR(NOT(ISNUMBER(B55)),B55&gt;Assumptions!$B$5),"INVALID SNAPSHOT",IF(OR(NOT(ISNUMBER(D55)),D55&gt;Assumptions!$B$5),"MISSING / FUTURE START",IF(COUNTIFS(Benchmarks!$A$6:$A$164,E55)&lt;&gt;1,"UNKNOWN OFFICE",IF(AND(F55&lt;&gt;"",OR(NOT(ISNUMBER(F55)),C55&lt;&gt;"HEARING")),"INVALID SCHEDULE",IF(AND(G55&lt;&gt;"",OR(NOT(ISNUMBER(G55)),G55&lt;Assumptions!$B$5)),"INVALID REVIEW DATE",IF(AND(F55&lt;&gt;"",F55&lt;Assumptions!$B$5,G55=""),"STALE SCHEDULE","OK")))))))))</f>
        <v>OK</v>
      </c>
    </row>
    <row r="56" spans="1:9" ht="22" customHeight="1">
      <c r="A56" s="4" t="s">
        <v>213</v>
      </c>
      <c r="B56" s="6">
        <v>46296</v>
      </c>
      <c r="C56" s="4" t="s">
        <v>64</v>
      </c>
      <c r="D56" s="6">
        <v>46113</v>
      </c>
      <c r="E56" s="4" t="s">
        <v>162</v>
      </c>
      <c r="F56" s="6"/>
      <c r="G56" s="6"/>
      <c r="H56" s="4" t="s">
        <v>163</v>
      </c>
      <c r="I56" s="11" t="str">
        <f>IF(A56="",IF(COUNTA(B56:H56)&gt;0,"MISSING ID",""),IF(COUNTIFS($A$6:$A$205,A56)&lt;&gt;1,"DUPLICATE ID",IF(AND(C56&lt;&gt;"INITIAL",C56&lt;&gt;"RECON",C56&lt;&gt;"HEARING"),"UNKNOWN STAGE",IF(OR(NOT(ISNUMBER(B56)),B56&gt;Assumptions!$B$5),"INVALID SNAPSHOT",IF(OR(NOT(ISNUMBER(D56)),D56&gt;Assumptions!$B$5),"MISSING / FUTURE START",IF(COUNTIFS(Benchmarks!$A$6:$A$164,E56)&lt;&gt;1,"UNKNOWN OFFICE",IF(AND(F56&lt;&gt;"",OR(NOT(ISNUMBER(F56)),C56&lt;&gt;"HEARING")),"INVALID SCHEDULE",IF(AND(G56&lt;&gt;"",OR(NOT(ISNUMBER(G56)),G56&lt;Assumptions!$B$5)),"INVALID REVIEW DATE",IF(AND(F56&lt;&gt;"",F56&lt;Assumptions!$B$5,G56=""),"STALE SCHEDULE","OK")))))))))</f>
        <v>OK</v>
      </c>
    </row>
    <row r="57" spans="1:9" ht="22" customHeight="1">
      <c r="A57" s="4" t="s">
        <v>214</v>
      </c>
      <c r="B57" s="6">
        <v>46296</v>
      </c>
      <c r="C57" s="4" t="s">
        <v>64</v>
      </c>
      <c r="D57" s="6">
        <v>46113</v>
      </c>
      <c r="E57" s="4" t="s">
        <v>162</v>
      </c>
      <c r="F57" s="6"/>
      <c r="G57" s="6"/>
      <c r="H57" s="4" t="s">
        <v>163</v>
      </c>
      <c r="I57" s="11" t="str">
        <f>IF(A57="",IF(COUNTA(B57:H57)&gt;0,"MISSING ID",""),IF(COUNTIFS($A$6:$A$205,A57)&lt;&gt;1,"DUPLICATE ID",IF(AND(C57&lt;&gt;"INITIAL",C57&lt;&gt;"RECON",C57&lt;&gt;"HEARING"),"UNKNOWN STAGE",IF(OR(NOT(ISNUMBER(B57)),B57&gt;Assumptions!$B$5),"INVALID SNAPSHOT",IF(OR(NOT(ISNUMBER(D57)),D57&gt;Assumptions!$B$5),"MISSING / FUTURE START",IF(COUNTIFS(Benchmarks!$A$6:$A$164,E57)&lt;&gt;1,"UNKNOWN OFFICE",IF(AND(F57&lt;&gt;"",OR(NOT(ISNUMBER(F57)),C57&lt;&gt;"HEARING")),"INVALID SCHEDULE",IF(AND(G57&lt;&gt;"",OR(NOT(ISNUMBER(G57)),G57&lt;Assumptions!$B$5)),"INVALID REVIEW DATE",IF(AND(F57&lt;&gt;"",F57&lt;Assumptions!$B$5,G57=""),"STALE SCHEDULE","OK")))))))))</f>
        <v>OK</v>
      </c>
    </row>
    <row r="58" spans="1:9" ht="22" customHeight="1">
      <c r="A58" s="4" t="s">
        <v>215</v>
      </c>
      <c r="B58" s="6">
        <v>46296</v>
      </c>
      <c r="C58" s="4" t="s">
        <v>64</v>
      </c>
      <c r="D58" s="6">
        <v>46113</v>
      </c>
      <c r="E58" s="4" t="s">
        <v>162</v>
      </c>
      <c r="F58" s="6"/>
      <c r="G58" s="6"/>
      <c r="H58" s="4" t="s">
        <v>163</v>
      </c>
      <c r="I58" s="11" t="str">
        <f>IF(A58="",IF(COUNTA(B58:H58)&gt;0,"MISSING ID",""),IF(COUNTIFS($A$6:$A$205,A58)&lt;&gt;1,"DUPLICATE ID",IF(AND(C58&lt;&gt;"INITIAL",C58&lt;&gt;"RECON",C58&lt;&gt;"HEARING"),"UNKNOWN STAGE",IF(OR(NOT(ISNUMBER(B58)),B58&gt;Assumptions!$B$5),"INVALID SNAPSHOT",IF(OR(NOT(ISNUMBER(D58)),D58&gt;Assumptions!$B$5),"MISSING / FUTURE START",IF(COUNTIFS(Benchmarks!$A$6:$A$164,E58)&lt;&gt;1,"UNKNOWN OFFICE",IF(AND(F58&lt;&gt;"",OR(NOT(ISNUMBER(F58)),C58&lt;&gt;"HEARING")),"INVALID SCHEDULE",IF(AND(G58&lt;&gt;"",OR(NOT(ISNUMBER(G58)),G58&lt;Assumptions!$B$5)),"INVALID REVIEW DATE",IF(AND(F58&lt;&gt;"",F58&lt;Assumptions!$B$5,G58=""),"STALE SCHEDULE","OK")))))))))</f>
        <v>OK</v>
      </c>
    </row>
    <row r="59" spans="1:9" ht="22" customHeight="1">
      <c r="A59" s="4" t="s">
        <v>216</v>
      </c>
      <c r="B59" s="6">
        <v>46296</v>
      </c>
      <c r="C59" s="4" t="s">
        <v>64</v>
      </c>
      <c r="D59" s="6">
        <v>46113</v>
      </c>
      <c r="E59" s="4" t="s">
        <v>162</v>
      </c>
      <c r="F59" s="6"/>
      <c r="G59" s="6"/>
      <c r="H59" s="4" t="s">
        <v>163</v>
      </c>
      <c r="I59" s="11" t="str">
        <f>IF(A59="",IF(COUNTA(B59:H59)&gt;0,"MISSING ID",""),IF(COUNTIFS($A$6:$A$205,A59)&lt;&gt;1,"DUPLICATE ID",IF(AND(C59&lt;&gt;"INITIAL",C59&lt;&gt;"RECON",C59&lt;&gt;"HEARING"),"UNKNOWN STAGE",IF(OR(NOT(ISNUMBER(B59)),B59&gt;Assumptions!$B$5),"INVALID SNAPSHOT",IF(OR(NOT(ISNUMBER(D59)),D59&gt;Assumptions!$B$5),"MISSING / FUTURE START",IF(COUNTIFS(Benchmarks!$A$6:$A$164,E59)&lt;&gt;1,"UNKNOWN OFFICE",IF(AND(F59&lt;&gt;"",OR(NOT(ISNUMBER(F59)),C59&lt;&gt;"HEARING")),"INVALID SCHEDULE",IF(AND(G59&lt;&gt;"",OR(NOT(ISNUMBER(G59)),G59&lt;Assumptions!$B$5)),"INVALID REVIEW DATE",IF(AND(F59&lt;&gt;"",F59&lt;Assumptions!$B$5,G59=""),"STALE SCHEDULE","OK")))))))))</f>
        <v>OK</v>
      </c>
    </row>
    <row r="60" spans="1:9" ht="22" customHeight="1">
      <c r="A60" s="4" t="s">
        <v>217</v>
      </c>
      <c r="B60" s="6">
        <v>46296</v>
      </c>
      <c r="C60" s="4" t="s">
        <v>64</v>
      </c>
      <c r="D60" s="6">
        <v>46113</v>
      </c>
      <c r="E60" s="4" t="s">
        <v>162</v>
      </c>
      <c r="F60" s="6"/>
      <c r="G60" s="6"/>
      <c r="H60" s="4" t="s">
        <v>163</v>
      </c>
      <c r="I60" s="11" t="str">
        <f>IF(A60="",IF(COUNTA(B60:H60)&gt;0,"MISSING ID",""),IF(COUNTIFS($A$6:$A$205,A60)&lt;&gt;1,"DUPLICATE ID",IF(AND(C60&lt;&gt;"INITIAL",C60&lt;&gt;"RECON",C60&lt;&gt;"HEARING"),"UNKNOWN STAGE",IF(OR(NOT(ISNUMBER(B60)),B60&gt;Assumptions!$B$5),"INVALID SNAPSHOT",IF(OR(NOT(ISNUMBER(D60)),D60&gt;Assumptions!$B$5),"MISSING / FUTURE START",IF(COUNTIFS(Benchmarks!$A$6:$A$164,E60)&lt;&gt;1,"UNKNOWN OFFICE",IF(AND(F60&lt;&gt;"",OR(NOT(ISNUMBER(F60)),C60&lt;&gt;"HEARING")),"INVALID SCHEDULE",IF(AND(G60&lt;&gt;"",OR(NOT(ISNUMBER(G60)),G60&lt;Assumptions!$B$5)),"INVALID REVIEW DATE",IF(AND(F60&lt;&gt;"",F60&lt;Assumptions!$B$5,G60=""),"STALE SCHEDULE","OK")))))))))</f>
        <v>OK</v>
      </c>
    </row>
    <row r="61" spans="1:9" ht="22" customHeight="1">
      <c r="A61" s="4" t="s">
        <v>218</v>
      </c>
      <c r="B61" s="6">
        <v>46296</v>
      </c>
      <c r="C61" s="4" t="s">
        <v>64</v>
      </c>
      <c r="D61" s="6">
        <v>46113</v>
      </c>
      <c r="E61" s="4" t="s">
        <v>162</v>
      </c>
      <c r="F61" s="6"/>
      <c r="G61" s="6"/>
      <c r="H61" s="4" t="s">
        <v>163</v>
      </c>
      <c r="I61" s="11" t="str">
        <f>IF(A61="",IF(COUNTA(B61:H61)&gt;0,"MISSING ID",""),IF(COUNTIFS($A$6:$A$205,A61)&lt;&gt;1,"DUPLICATE ID",IF(AND(C61&lt;&gt;"INITIAL",C61&lt;&gt;"RECON",C61&lt;&gt;"HEARING"),"UNKNOWN STAGE",IF(OR(NOT(ISNUMBER(B61)),B61&gt;Assumptions!$B$5),"INVALID SNAPSHOT",IF(OR(NOT(ISNUMBER(D61)),D61&gt;Assumptions!$B$5),"MISSING / FUTURE START",IF(COUNTIFS(Benchmarks!$A$6:$A$164,E61)&lt;&gt;1,"UNKNOWN OFFICE",IF(AND(F61&lt;&gt;"",OR(NOT(ISNUMBER(F61)),C61&lt;&gt;"HEARING")),"INVALID SCHEDULE",IF(AND(G61&lt;&gt;"",OR(NOT(ISNUMBER(G61)),G61&lt;Assumptions!$B$5)),"INVALID REVIEW DATE",IF(AND(F61&lt;&gt;"",F61&lt;Assumptions!$B$5,G61=""),"STALE SCHEDULE","OK")))))))))</f>
        <v>OK</v>
      </c>
    </row>
    <row r="62" spans="1:9" ht="22" customHeight="1">
      <c r="A62" s="4" t="s">
        <v>219</v>
      </c>
      <c r="B62" s="6">
        <v>46296</v>
      </c>
      <c r="C62" s="4" t="s">
        <v>64</v>
      </c>
      <c r="D62" s="6">
        <v>46113</v>
      </c>
      <c r="E62" s="4" t="s">
        <v>162</v>
      </c>
      <c r="F62" s="6"/>
      <c r="G62" s="6"/>
      <c r="H62" s="4" t="s">
        <v>163</v>
      </c>
      <c r="I62" s="11" t="str">
        <f>IF(A62="",IF(COUNTA(B62:H62)&gt;0,"MISSING ID",""),IF(COUNTIFS($A$6:$A$205,A62)&lt;&gt;1,"DUPLICATE ID",IF(AND(C62&lt;&gt;"INITIAL",C62&lt;&gt;"RECON",C62&lt;&gt;"HEARING"),"UNKNOWN STAGE",IF(OR(NOT(ISNUMBER(B62)),B62&gt;Assumptions!$B$5),"INVALID SNAPSHOT",IF(OR(NOT(ISNUMBER(D62)),D62&gt;Assumptions!$B$5),"MISSING / FUTURE START",IF(COUNTIFS(Benchmarks!$A$6:$A$164,E62)&lt;&gt;1,"UNKNOWN OFFICE",IF(AND(F62&lt;&gt;"",OR(NOT(ISNUMBER(F62)),C62&lt;&gt;"HEARING")),"INVALID SCHEDULE",IF(AND(G62&lt;&gt;"",OR(NOT(ISNUMBER(G62)),G62&lt;Assumptions!$B$5)),"INVALID REVIEW DATE",IF(AND(F62&lt;&gt;"",F62&lt;Assumptions!$B$5,G62=""),"STALE SCHEDULE","OK")))))))))</f>
        <v>OK</v>
      </c>
    </row>
    <row r="63" spans="1:9" ht="22" customHeight="1">
      <c r="A63" s="4" t="s">
        <v>220</v>
      </c>
      <c r="B63" s="6">
        <v>46296</v>
      </c>
      <c r="C63" s="4" t="s">
        <v>64</v>
      </c>
      <c r="D63" s="6">
        <v>46113</v>
      </c>
      <c r="E63" s="4" t="s">
        <v>162</v>
      </c>
      <c r="F63" s="6"/>
      <c r="G63" s="6"/>
      <c r="H63" s="4" t="s">
        <v>163</v>
      </c>
      <c r="I63" s="11" t="str">
        <f>IF(A63="",IF(COUNTA(B63:H63)&gt;0,"MISSING ID",""),IF(COUNTIFS($A$6:$A$205,A63)&lt;&gt;1,"DUPLICATE ID",IF(AND(C63&lt;&gt;"INITIAL",C63&lt;&gt;"RECON",C63&lt;&gt;"HEARING"),"UNKNOWN STAGE",IF(OR(NOT(ISNUMBER(B63)),B63&gt;Assumptions!$B$5),"INVALID SNAPSHOT",IF(OR(NOT(ISNUMBER(D63)),D63&gt;Assumptions!$B$5),"MISSING / FUTURE START",IF(COUNTIFS(Benchmarks!$A$6:$A$164,E63)&lt;&gt;1,"UNKNOWN OFFICE",IF(AND(F63&lt;&gt;"",OR(NOT(ISNUMBER(F63)),C63&lt;&gt;"HEARING")),"INVALID SCHEDULE",IF(AND(G63&lt;&gt;"",OR(NOT(ISNUMBER(G63)),G63&lt;Assumptions!$B$5)),"INVALID REVIEW DATE",IF(AND(F63&lt;&gt;"",F63&lt;Assumptions!$B$5,G63=""),"STALE SCHEDULE","OK")))))))))</f>
        <v>OK</v>
      </c>
    </row>
    <row r="64" spans="1:9" ht="22" customHeight="1">
      <c r="A64" s="4" t="s">
        <v>221</v>
      </c>
      <c r="B64" s="6">
        <v>46296</v>
      </c>
      <c r="C64" s="4" t="s">
        <v>64</v>
      </c>
      <c r="D64" s="6">
        <v>46113</v>
      </c>
      <c r="E64" s="4" t="s">
        <v>162</v>
      </c>
      <c r="F64" s="6"/>
      <c r="G64" s="6"/>
      <c r="H64" s="4" t="s">
        <v>163</v>
      </c>
      <c r="I64" s="11" t="str">
        <f>IF(A64="",IF(COUNTA(B64:H64)&gt;0,"MISSING ID",""),IF(COUNTIFS($A$6:$A$205,A64)&lt;&gt;1,"DUPLICATE ID",IF(AND(C64&lt;&gt;"INITIAL",C64&lt;&gt;"RECON",C64&lt;&gt;"HEARING"),"UNKNOWN STAGE",IF(OR(NOT(ISNUMBER(B64)),B64&gt;Assumptions!$B$5),"INVALID SNAPSHOT",IF(OR(NOT(ISNUMBER(D64)),D64&gt;Assumptions!$B$5),"MISSING / FUTURE START",IF(COUNTIFS(Benchmarks!$A$6:$A$164,E64)&lt;&gt;1,"UNKNOWN OFFICE",IF(AND(F64&lt;&gt;"",OR(NOT(ISNUMBER(F64)),C64&lt;&gt;"HEARING")),"INVALID SCHEDULE",IF(AND(G64&lt;&gt;"",OR(NOT(ISNUMBER(G64)),G64&lt;Assumptions!$B$5)),"INVALID REVIEW DATE",IF(AND(F64&lt;&gt;"",F64&lt;Assumptions!$B$5,G64=""),"STALE SCHEDULE","OK")))))))))</f>
        <v>OK</v>
      </c>
    </row>
    <row r="65" spans="1:9" ht="22" customHeight="1">
      <c r="A65" s="4" t="s">
        <v>222</v>
      </c>
      <c r="B65" s="6">
        <v>46296</v>
      </c>
      <c r="C65" s="4" t="s">
        <v>64</v>
      </c>
      <c r="D65" s="6">
        <v>46113</v>
      </c>
      <c r="E65" s="4" t="s">
        <v>162</v>
      </c>
      <c r="F65" s="6"/>
      <c r="G65" s="6"/>
      <c r="H65" s="4" t="s">
        <v>163</v>
      </c>
      <c r="I65" s="11" t="str">
        <f>IF(A65="",IF(COUNTA(B65:H65)&gt;0,"MISSING ID",""),IF(COUNTIFS($A$6:$A$205,A65)&lt;&gt;1,"DUPLICATE ID",IF(AND(C65&lt;&gt;"INITIAL",C65&lt;&gt;"RECON",C65&lt;&gt;"HEARING"),"UNKNOWN STAGE",IF(OR(NOT(ISNUMBER(B65)),B65&gt;Assumptions!$B$5),"INVALID SNAPSHOT",IF(OR(NOT(ISNUMBER(D65)),D65&gt;Assumptions!$B$5),"MISSING / FUTURE START",IF(COUNTIFS(Benchmarks!$A$6:$A$164,E65)&lt;&gt;1,"UNKNOWN OFFICE",IF(AND(F65&lt;&gt;"",OR(NOT(ISNUMBER(F65)),C65&lt;&gt;"HEARING")),"INVALID SCHEDULE",IF(AND(G65&lt;&gt;"",OR(NOT(ISNUMBER(G65)),G65&lt;Assumptions!$B$5)),"INVALID REVIEW DATE",IF(AND(F65&lt;&gt;"",F65&lt;Assumptions!$B$5,G65=""),"STALE SCHEDULE","OK")))))))))</f>
        <v>OK</v>
      </c>
    </row>
    <row r="66" spans="1:9" ht="22" customHeight="1">
      <c r="A66" s="4" t="s">
        <v>223</v>
      </c>
      <c r="B66" s="6">
        <v>46296</v>
      </c>
      <c r="C66" s="4" t="s">
        <v>64</v>
      </c>
      <c r="D66" s="6">
        <v>46113</v>
      </c>
      <c r="E66" s="4" t="s">
        <v>162</v>
      </c>
      <c r="F66" s="6"/>
      <c r="G66" s="6"/>
      <c r="H66" s="4" t="s">
        <v>163</v>
      </c>
      <c r="I66" s="11" t="str">
        <f>IF(A66="",IF(COUNTA(B66:H66)&gt;0,"MISSING ID",""),IF(COUNTIFS($A$6:$A$205,A66)&lt;&gt;1,"DUPLICATE ID",IF(AND(C66&lt;&gt;"INITIAL",C66&lt;&gt;"RECON",C66&lt;&gt;"HEARING"),"UNKNOWN STAGE",IF(OR(NOT(ISNUMBER(B66)),B66&gt;Assumptions!$B$5),"INVALID SNAPSHOT",IF(OR(NOT(ISNUMBER(D66)),D66&gt;Assumptions!$B$5),"MISSING / FUTURE START",IF(COUNTIFS(Benchmarks!$A$6:$A$164,E66)&lt;&gt;1,"UNKNOWN OFFICE",IF(AND(F66&lt;&gt;"",OR(NOT(ISNUMBER(F66)),C66&lt;&gt;"HEARING")),"INVALID SCHEDULE",IF(AND(G66&lt;&gt;"",OR(NOT(ISNUMBER(G66)),G66&lt;Assumptions!$B$5)),"INVALID REVIEW DATE",IF(AND(F66&lt;&gt;"",F66&lt;Assumptions!$B$5,G66=""),"STALE SCHEDULE","OK")))))))))</f>
        <v>OK</v>
      </c>
    </row>
    <row r="67" spans="1:9" ht="22" customHeight="1">
      <c r="A67" s="4" t="s">
        <v>224</v>
      </c>
      <c r="B67" s="6">
        <v>46296</v>
      </c>
      <c r="C67" s="4" t="s">
        <v>64</v>
      </c>
      <c r="D67" s="6">
        <v>46113</v>
      </c>
      <c r="E67" s="4" t="s">
        <v>162</v>
      </c>
      <c r="F67" s="6"/>
      <c r="G67" s="6"/>
      <c r="H67" s="4" t="s">
        <v>163</v>
      </c>
      <c r="I67" s="11" t="str">
        <f>IF(A67="",IF(COUNTA(B67:H67)&gt;0,"MISSING ID",""),IF(COUNTIFS($A$6:$A$205,A67)&lt;&gt;1,"DUPLICATE ID",IF(AND(C67&lt;&gt;"INITIAL",C67&lt;&gt;"RECON",C67&lt;&gt;"HEARING"),"UNKNOWN STAGE",IF(OR(NOT(ISNUMBER(B67)),B67&gt;Assumptions!$B$5),"INVALID SNAPSHOT",IF(OR(NOT(ISNUMBER(D67)),D67&gt;Assumptions!$B$5),"MISSING / FUTURE START",IF(COUNTIFS(Benchmarks!$A$6:$A$164,E67)&lt;&gt;1,"UNKNOWN OFFICE",IF(AND(F67&lt;&gt;"",OR(NOT(ISNUMBER(F67)),C67&lt;&gt;"HEARING")),"INVALID SCHEDULE",IF(AND(G67&lt;&gt;"",OR(NOT(ISNUMBER(G67)),G67&lt;Assumptions!$B$5)),"INVALID REVIEW DATE",IF(AND(F67&lt;&gt;"",F67&lt;Assumptions!$B$5,G67=""),"STALE SCHEDULE","OK")))))))))</f>
        <v>OK</v>
      </c>
    </row>
    <row r="68" spans="1:9" ht="22" customHeight="1">
      <c r="A68" s="4" t="s">
        <v>225</v>
      </c>
      <c r="B68" s="6">
        <v>46296</v>
      </c>
      <c r="C68" s="4" t="s">
        <v>64</v>
      </c>
      <c r="D68" s="6">
        <v>46113</v>
      </c>
      <c r="E68" s="4" t="s">
        <v>162</v>
      </c>
      <c r="F68" s="6"/>
      <c r="G68" s="6"/>
      <c r="H68" s="4" t="s">
        <v>163</v>
      </c>
      <c r="I68" s="11" t="str">
        <f>IF(A68="",IF(COUNTA(B68:H68)&gt;0,"MISSING ID",""),IF(COUNTIFS($A$6:$A$205,A68)&lt;&gt;1,"DUPLICATE ID",IF(AND(C68&lt;&gt;"INITIAL",C68&lt;&gt;"RECON",C68&lt;&gt;"HEARING"),"UNKNOWN STAGE",IF(OR(NOT(ISNUMBER(B68)),B68&gt;Assumptions!$B$5),"INVALID SNAPSHOT",IF(OR(NOT(ISNUMBER(D68)),D68&gt;Assumptions!$B$5),"MISSING / FUTURE START",IF(COUNTIFS(Benchmarks!$A$6:$A$164,E68)&lt;&gt;1,"UNKNOWN OFFICE",IF(AND(F68&lt;&gt;"",OR(NOT(ISNUMBER(F68)),C68&lt;&gt;"HEARING")),"INVALID SCHEDULE",IF(AND(G68&lt;&gt;"",OR(NOT(ISNUMBER(G68)),G68&lt;Assumptions!$B$5)),"INVALID REVIEW DATE",IF(AND(F68&lt;&gt;"",F68&lt;Assumptions!$B$5,G68=""),"STALE SCHEDULE","OK")))))))))</f>
        <v>OK</v>
      </c>
    </row>
    <row r="69" spans="1:9" ht="22" customHeight="1">
      <c r="A69" s="4" t="s">
        <v>226</v>
      </c>
      <c r="B69" s="6">
        <v>46296</v>
      </c>
      <c r="C69" s="4" t="s">
        <v>64</v>
      </c>
      <c r="D69" s="6">
        <v>46113</v>
      </c>
      <c r="E69" s="4" t="s">
        <v>162</v>
      </c>
      <c r="F69" s="6"/>
      <c r="G69" s="6"/>
      <c r="H69" s="4" t="s">
        <v>163</v>
      </c>
      <c r="I69" s="11" t="str">
        <f>IF(A69="",IF(COUNTA(B69:H69)&gt;0,"MISSING ID",""),IF(COUNTIFS($A$6:$A$205,A69)&lt;&gt;1,"DUPLICATE ID",IF(AND(C69&lt;&gt;"INITIAL",C69&lt;&gt;"RECON",C69&lt;&gt;"HEARING"),"UNKNOWN STAGE",IF(OR(NOT(ISNUMBER(B69)),B69&gt;Assumptions!$B$5),"INVALID SNAPSHOT",IF(OR(NOT(ISNUMBER(D69)),D69&gt;Assumptions!$B$5),"MISSING / FUTURE START",IF(COUNTIFS(Benchmarks!$A$6:$A$164,E69)&lt;&gt;1,"UNKNOWN OFFICE",IF(AND(F69&lt;&gt;"",OR(NOT(ISNUMBER(F69)),C69&lt;&gt;"HEARING")),"INVALID SCHEDULE",IF(AND(G69&lt;&gt;"",OR(NOT(ISNUMBER(G69)),G69&lt;Assumptions!$B$5)),"INVALID REVIEW DATE",IF(AND(F69&lt;&gt;"",F69&lt;Assumptions!$B$5,G69=""),"STALE SCHEDULE","OK")))))))))</f>
        <v>OK</v>
      </c>
    </row>
    <row r="70" spans="1:9" ht="22" customHeight="1">
      <c r="A70" s="4" t="s">
        <v>227</v>
      </c>
      <c r="B70" s="6">
        <v>46296</v>
      </c>
      <c r="C70" s="4" t="s">
        <v>64</v>
      </c>
      <c r="D70" s="6">
        <v>46113</v>
      </c>
      <c r="E70" s="4" t="s">
        <v>162</v>
      </c>
      <c r="F70" s="6"/>
      <c r="G70" s="6"/>
      <c r="H70" s="4" t="s">
        <v>163</v>
      </c>
      <c r="I70" s="11" t="str">
        <f>IF(A70="",IF(COUNTA(B70:H70)&gt;0,"MISSING ID",""),IF(COUNTIFS($A$6:$A$205,A70)&lt;&gt;1,"DUPLICATE ID",IF(AND(C70&lt;&gt;"INITIAL",C70&lt;&gt;"RECON",C70&lt;&gt;"HEARING"),"UNKNOWN STAGE",IF(OR(NOT(ISNUMBER(B70)),B70&gt;Assumptions!$B$5),"INVALID SNAPSHOT",IF(OR(NOT(ISNUMBER(D70)),D70&gt;Assumptions!$B$5),"MISSING / FUTURE START",IF(COUNTIFS(Benchmarks!$A$6:$A$164,E70)&lt;&gt;1,"UNKNOWN OFFICE",IF(AND(F70&lt;&gt;"",OR(NOT(ISNUMBER(F70)),C70&lt;&gt;"HEARING")),"INVALID SCHEDULE",IF(AND(G70&lt;&gt;"",OR(NOT(ISNUMBER(G70)),G70&lt;Assumptions!$B$5)),"INVALID REVIEW DATE",IF(AND(F70&lt;&gt;"",F70&lt;Assumptions!$B$5,G70=""),"STALE SCHEDULE","OK")))))))))</f>
        <v>OK</v>
      </c>
    </row>
    <row r="71" spans="1:9" ht="22" customHeight="1">
      <c r="A71" s="4" t="s">
        <v>228</v>
      </c>
      <c r="B71" s="6">
        <v>46296</v>
      </c>
      <c r="C71" s="4" t="s">
        <v>64</v>
      </c>
      <c r="D71" s="6">
        <v>46113</v>
      </c>
      <c r="E71" s="4" t="s">
        <v>162</v>
      </c>
      <c r="F71" s="6"/>
      <c r="G71" s="6"/>
      <c r="H71" s="4" t="s">
        <v>163</v>
      </c>
      <c r="I71" s="11" t="str">
        <f>IF(A71="",IF(COUNTA(B71:H71)&gt;0,"MISSING ID",""),IF(COUNTIFS($A$6:$A$205,A71)&lt;&gt;1,"DUPLICATE ID",IF(AND(C71&lt;&gt;"INITIAL",C71&lt;&gt;"RECON",C71&lt;&gt;"HEARING"),"UNKNOWN STAGE",IF(OR(NOT(ISNUMBER(B71)),B71&gt;Assumptions!$B$5),"INVALID SNAPSHOT",IF(OR(NOT(ISNUMBER(D71)),D71&gt;Assumptions!$B$5),"MISSING / FUTURE START",IF(COUNTIFS(Benchmarks!$A$6:$A$164,E71)&lt;&gt;1,"UNKNOWN OFFICE",IF(AND(F71&lt;&gt;"",OR(NOT(ISNUMBER(F71)),C71&lt;&gt;"HEARING")),"INVALID SCHEDULE",IF(AND(G71&lt;&gt;"",OR(NOT(ISNUMBER(G71)),G71&lt;Assumptions!$B$5)),"INVALID REVIEW DATE",IF(AND(F71&lt;&gt;"",F71&lt;Assumptions!$B$5,G71=""),"STALE SCHEDULE","OK")))))))))</f>
        <v>OK</v>
      </c>
    </row>
    <row r="72" spans="1:9" ht="22" customHeight="1">
      <c r="A72" s="4" t="s">
        <v>229</v>
      </c>
      <c r="B72" s="6">
        <v>46296</v>
      </c>
      <c r="C72" s="4" t="s">
        <v>64</v>
      </c>
      <c r="D72" s="6">
        <v>46113</v>
      </c>
      <c r="E72" s="4" t="s">
        <v>162</v>
      </c>
      <c r="F72" s="6"/>
      <c r="G72" s="6"/>
      <c r="H72" s="4" t="s">
        <v>163</v>
      </c>
      <c r="I72" s="11" t="str">
        <f>IF(A72="",IF(COUNTA(B72:H72)&gt;0,"MISSING ID",""),IF(COUNTIFS($A$6:$A$205,A72)&lt;&gt;1,"DUPLICATE ID",IF(AND(C72&lt;&gt;"INITIAL",C72&lt;&gt;"RECON",C72&lt;&gt;"HEARING"),"UNKNOWN STAGE",IF(OR(NOT(ISNUMBER(B72)),B72&gt;Assumptions!$B$5),"INVALID SNAPSHOT",IF(OR(NOT(ISNUMBER(D72)),D72&gt;Assumptions!$B$5),"MISSING / FUTURE START",IF(COUNTIFS(Benchmarks!$A$6:$A$164,E72)&lt;&gt;1,"UNKNOWN OFFICE",IF(AND(F72&lt;&gt;"",OR(NOT(ISNUMBER(F72)),C72&lt;&gt;"HEARING")),"INVALID SCHEDULE",IF(AND(G72&lt;&gt;"",OR(NOT(ISNUMBER(G72)),G72&lt;Assumptions!$B$5)),"INVALID REVIEW DATE",IF(AND(F72&lt;&gt;"",F72&lt;Assumptions!$B$5,G72=""),"STALE SCHEDULE","OK")))))))))</f>
        <v>OK</v>
      </c>
    </row>
    <row r="73" spans="1:9" ht="22" customHeight="1">
      <c r="A73" s="4" t="s">
        <v>230</v>
      </c>
      <c r="B73" s="6">
        <v>46296</v>
      </c>
      <c r="C73" s="4" t="s">
        <v>64</v>
      </c>
      <c r="D73" s="6">
        <v>46113</v>
      </c>
      <c r="E73" s="4" t="s">
        <v>162</v>
      </c>
      <c r="F73" s="6"/>
      <c r="G73" s="6"/>
      <c r="H73" s="4" t="s">
        <v>163</v>
      </c>
      <c r="I73" s="11" t="str">
        <f>IF(A73="",IF(COUNTA(B73:H73)&gt;0,"MISSING ID",""),IF(COUNTIFS($A$6:$A$205,A73)&lt;&gt;1,"DUPLICATE ID",IF(AND(C73&lt;&gt;"INITIAL",C73&lt;&gt;"RECON",C73&lt;&gt;"HEARING"),"UNKNOWN STAGE",IF(OR(NOT(ISNUMBER(B73)),B73&gt;Assumptions!$B$5),"INVALID SNAPSHOT",IF(OR(NOT(ISNUMBER(D73)),D73&gt;Assumptions!$B$5),"MISSING / FUTURE START",IF(COUNTIFS(Benchmarks!$A$6:$A$164,E73)&lt;&gt;1,"UNKNOWN OFFICE",IF(AND(F73&lt;&gt;"",OR(NOT(ISNUMBER(F73)),C73&lt;&gt;"HEARING")),"INVALID SCHEDULE",IF(AND(G73&lt;&gt;"",OR(NOT(ISNUMBER(G73)),G73&lt;Assumptions!$B$5)),"INVALID REVIEW DATE",IF(AND(F73&lt;&gt;"",F73&lt;Assumptions!$B$5,G73=""),"STALE SCHEDULE","OK")))))))))</f>
        <v>OK</v>
      </c>
    </row>
    <row r="74" spans="1:9" ht="22" customHeight="1">
      <c r="A74" s="4" t="s">
        <v>231</v>
      </c>
      <c r="B74" s="6">
        <v>46296</v>
      </c>
      <c r="C74" s="4" t="s">
        <v>64</v>
      </c>
      <c r="D74" s="6">
        <v>46113</v>
      </c>
      <c r="E74" s="4" t="s">
        <v>162</v>
      </c>
      <c r="F74" s="6"/>
      <c r="G74" s="6"/>
      <c r="H74" s="4" t="s">
        <v>163</v>
      </c>
      <c r="I74" s="11" t="str">
        <f>IF(A74="",IF(COUNTA(B74:H74)&gt;0,"MISSING ID",""),IF(COUNTIFS($A$6:$A$205,A74)&lt;&gt;1,"DUPLICATE ID",IF(AND(C74&lt;&gt;"INITIAL",C74&lt;&gt;"RECON",C74&lt;&gt;"HEARING"),"UNKNOWN STAGE",IF(OR(NOT(ISNUMBER(B74)),B74&gt;Assumptions!$B$5),"INVALID SNAPSHOT",IF(OR(NOT(ISNUMBER(D74)),D74&gt;Assumptions!$B$5),"MISSING / FUTURE START",IF(COUNTIFS(Benchmarks!$A$6:$A$164,E74)&lt;&gt;1,"UNKNOWN OFFICE",IF(AND(F74&lt;&gt;"",OR(NOT(ISNUMBER(F74)),C74&lt;&gt;"HEARING")),"INVALID SCHEDULE",IF(AND(G74&lt;&gt;"",OR(NOT(ISNUMBER(G74)),G74&lt;Assumptions!$B$5)),"INVALID REVIEW DATE",IF(AND(F74&lt;&gt;"",F74&lt;Assumptions!$B$5,G74=""),"STALE SCHEDULE","OK")))))))))</f>
        <v>OK</v>
      </c>
    </row>
    <row r="75" spans="1:9" ht="22" customHeight="1">
      <c r="A75" s="4" t="s">
        <v>232</v>
      </c>
      <c r="B75" s="6">
        <v>46296</v>
      </c>
      <c r="C75" s="4" t="s">
        <v>64</v>
      </c>
      <c r="D75" s="6">
        <v>46113</v>
      </c>
      <c r="E75" s="4" t="s">
        <v>162</v>
      </c>
      <c r="F75" s="6"/>
      <c r="G75" s="6"/>
      <c r="H75" s="4" t="s">
        <v>163</v>
      </c>
      <c r="I75" s="11" t="str">
        <f>IF(A75="",IF(COUNTA(B75:H75)&gt;0,"MISSING ID",""),IF(COUNTIFS($A$6:$A$205,A75)&lt;&gt;1,"DUPLICATE ID",IF(AND(C75&lt;&gt;"INITIAL",C75&lt;&gt;"RECON",C75&lt;&gt;"HEARING"),"UNKNOWN STAGE",IF(OR(NOT(ISNUMBER(B75)),B75&gt;Assumptions!$B$5),"INVALID SNAPSHOT",IF(OR(NOT(ISNUMBER(D75)),D75&gt;Assumptions!$B$5),"MISSING / FUTURE START",IF(COUNTIFS(Benchmarks!$A$6:$A$164,E75)&lt;&gt;1,"UNKNOWN OFFICE",IF(AND(F75&lt;&gt;"",OR(NOT(ISNUMBER(F75)),C75&lt;&gt;"HEARING")),"INVALID SCHEDULE",IF(AND(G75&lt;&gt;"",OR(NOT(ISNUMBER(G75)),G75&lt;Assumptions!$B$5)),"INVALID REVIEW DATE",IF(AND(F75&lt;&gt;"",F75&lt;Assumptions!$B$5,G75=""),"STALE SCHEDULE","OK")))))))))</f>
        <v>OK</v>
      </c>
    </row>
    <row r="76" spans="1:9" ht="22" customHeight="1">
      <c r="A76" s="4" t="s">
        <v>233</v>
      </c>
      <c r="B76" s="6">
        <v>46296</v>
      </c>
      <c r="C76" s="4" t="s">
        <v>64</v>
      </c>
      <c r="D76" s="6">
        <v>46143</v>
      </c>
      <c r="E76" s="4" t="s">
        <v>162</v>
      </c>
      <c r="F76" s="6"/>
      <c r="G76" s="6"/>
      <c r="H76" s="4" t="s">
        <v>163</v>
      </c>
      <c r="I76" s="11" t="str">
        <f>IF(A76="",IF(COUNTA(B76:H76)&gt;0,"MISSING ID",""),IF(COUNTIFS($A$6:$A$205,A76)&lt;&gt;1,"DUPLICATE ID",IF(AND(C76&lt;&gt;"INITIAL",C76&lt;&gt;"RECON",C76&lt;&gt;"HEARING"),"UNKNOWN STAGE",IF(OR(NOT(ISNUMBER(B76)),B76&gt;Assumptions!$B$5),"INVALID SNAPSHOT",IF(OR(NOT(ISNUMBER(D76)),D76&gt;Assumptions!$B$5),"MISSING / FUTURE START",IF(COUNTIFS(Benchmarks!$A$6:$A$164,E76)&lt;&gt;1,"UNKNOWN OFFICE",IF(AND(F76&lt;&gt;"",OR(NOT(ISNUMBER(F76)),C76&lt;&gt;"HEARING")),"INVALID SCHEDULE",IF(AND(G76&lt;&gt;"",OR(NOT(ISNUMBER(G76)),G76&lt;Assumptions!$B$5)),"INVALID REVIEW DATE",IF(AND(F76&lt;&gt;"",F76&lt;Assumptions!$B$5,G76=""),"STALE SCHEDULE","OK")))))))))</f>
        <v>OK</v>
      </c>
    </row>
    <row r="77" spans="1:9" ht="22" customHeight="1">
      <c r="A77" s="4" t="s">
        <v>234</v>
      </c>
      <c r="B77" s="6">
        <v>46296</v>
      </c>
      <c r="C77" s="4" t="s">
        <v>64</v>
      </c>
      <c r="D77" s="6">
        <v>46143</v>
      </c>
      <c r="E77" s="4" t="s">
        <v>162</v>
      </c>
      <c r="F77" s="6"/>
      <c r="G77" s="6"/>
      <c r="H77" s="4" t="s">
        <v>163</v>
      </c>
      <c r="I77" s="11" t="str">
        <f>IF(A77="",IF(COUNTA(B77:H77)&gt;0,"MISSING ID",""),IF(COUNTIFS($A$6:$A$205,A77)&lt;&gt;1,"DUPLICATE ID",IF(AND(C77&lt;&gt;"INITIAL",C77&lt;&gt;"RECON",C77&lt;&gt;"HEARING"),"UNKNOWN STAGE",IF(OR(NOT(ISNUMBER(B77)),B77&gt;Assumptions!$B$5),"INVALID SNAPSHOT",IF(OR(NOT(ISNUMBER(D77)),D77&gt;Assumptions!$B$5),"MISSING / FUTURE START",IF(COUNTIFS(Benchmarks!$A$6:$A$164,E77)&lt;&gt;1,"UNKNOWN OFFICE",IF(AND(F77&lt;&gt;"",OR(NOT(ISNUMBER(F77)),C77&lt;&gt;"HEARING")),"INVALID SCHEDULE",IF(AND(G77&lt;&gt;"",OR(NOT(ISNUMBER(G77)),G77&lt;Assumptions!$B$5)),"INVALID REVIEW DATE",IF(AND(F77&lt;&gt;"",F77&lt;Assumptions!$B$5,G77=""),"STALE SCHEDULE","OK")))))))))</f>
        <v>OK</v>
      </c>
    </row>
    <row r="78" spans="1:9" ht="22" customHeight="1">
      <c r="A78" s="4" t="s">
        <v>235</v>
      </c>
      <c r="B78" s="6">
        <v>46296</v>
      </c>
      <c r="C78" s="4" t="s">
        <v>64</v>
      </c>
      <c r="D78" s="6">
        <v>46143</v>
      </c>
      <c r="E78" s="4" t="s">
        <v>162</v>
      </c>
      <c r="F78" s="6"/>
      <c r="G78" s="6"/>
      <c r="H78" s="4" t="s">
        <v>163</v>
      </c>
      <c r="I78" s="11" t="str">
        <f>IF(A78="",IF(COUNTA(B78:H78)&gt;0,"MISSING ID",""),IF(COUNTIFS($A$6:$A$205,A78)&lt;&gt;1,"DUPLICATE ID",IF(AND(C78&lt;&gt;"INITIAL",C78&lt;&gt;"RECON",C78&lt;&gt;"HEARING"),"UNKNOWN STAGE",IF(OR(NOT(ISNUMBER(B78)),B78&gt;Assumptions!$B$5),"INVALID SNAPSHOT",IF(OR(NOT(ISNUMBER(D78)),D78&gt;Assumptions!$B$5),"MISSING / FUTURE START",IF(COUNTIFS(Benchmarks!$A$6:$A$164,E78)&lt;&gt;1,"UNKNOWN OFFICE",IF(AND(F78&lt;&gt;"",OR(NOT(ISNUMBER(F78)),C78&lt;&gt;"HEARING")),"INVALID SCHEDULE",IF(AND(G78&lt;&gt;"",OR(NOT(ISNUMBER(G78)),G78&lt;Assumptions!$B$5)),"INVALID REVIEW DATE",IF(AND(F78&lt;&gt;"",F78&lt;Assumptions!$B$5,G78=""),"STALE SCHEDULE","OK")))))))))</f>
        <v>OK</v>
      </c>
    </row>
    <row r="79" spans="1:9" ht="22" customHeight="1">
      <c r="A79" s="4" t="s">
        <v>236</v>
      </c>
      <c r="B79" s="6">
        <v>46296</v>
      </c>
      <c r="C79" s="4" t="s">
        <v>64</v>
      </c>
      <c r="D79" s="6">
        <v>46143</v>
      </c>
      <c r="E79" s="4" t="s">
        <v>162</v>
      </c>
      <c r="F79" s="6"/>
      <c r="G79" s="6"/>
      <c r="H79" s="4" t="s">
        <v>163</v>
      </c>
      <c r="I79" s="11" t="str">
        <f>IF(A79="",IF(COUNTA(B79:H79)&gt;0,"MISSING ID",""),IF(COUNTIFS($A$6:$A$205,A79)&lt;&gt;1,"DUPLICATE ID",IF(AND(C79&lt;&gt;"INITIAL",C79&lt;&gt;"RECON",C79&lt;&gt;"HEARING"),"UNKNOWN STAGE",IF(OR(NOT(ISNUMBER(B79)),B79&gt;Assumptions!$B$5),"INVALID SNAPSHOT",IF(OR(NOT(ISNUMBER(D79)),D79&gt;Assumptions!$B$5),"MISSING / FUTURE START",IF(COUNTIFS(Benchmarks!$A$6:$A$164,E79)&lt;&gt;1,"UNKNOWN OFFICE",IF(AND(F79&lt;&gt;"",OR(NOT(ISNUMBER(F79)),C79&lt;&gt;"HEARING")),"INVALID SCHEDULE",IF(AND(G79&lt;&gt;"",OR(NOT(ISNUMBER(G79)),G79&lt;Assumptions!$B$5)),"INVALID REVIEW DATE",IF(AND(F79&lt;&gt;"",F79&lt;Assumptions!$B$5,G79=""),"STALE SCHEDULE","OK")))))))))</f>
        <v>OK</v>
      </c>
    </row>
    <row r="80" spans="1:9" ht="22" customHeight="1">
      <c r="A80" s="4" t="s">
        <v>237</v>
      </c>
      <c r="B80" s="6">
        <v>46296</v>
      </c>
      <c r="C80" s="4" t="s">
        <v>64</v>
      </c>
      <c r="D80" s="6">
        <v>46143</v>
      </c>
      <c r="E80" s="4" t="s">
        <v>162</v>
      </c>
      <c r="F80" s="6"/>
      <c r="G80" s="6"/>
      <c r="H80" s="4" t="s">
        <v>163</v>
      </c>
      <c r="I80" s="11" t="str">
        <f>IF(A80="",IF(COUNTA(B80:H80)&gt;0,"MISSING ID",""),IF(COUNTIFS($A$6:$A$205,A80)&lt;&gt;1,"DUPLICATE ID",IF(AND(C80&lt;&gt;"INITIAL",C80&lt;&gt;"RECON",C80&lt;&gt;"HEARING"),"UNKNOWN STAGE",IF(OR(NOT(ISNUMBER(B80)),B80&gt;Assumptions!$B$5),"INVALID SNAPSHOT",IF(OR(NOT(ISNUMBER(D80)),D80&gt;Assumptions!$B$5),"MISSING / FUTURE START",IF(COUNTIFS(Benchmarks!$A$6:$A$164,E80)&lt;&gt;1,"UNKNOWN OFFICE",IF(AND(F80&lt;&gt;"",OR(NOT(ISNUMBER(F80)),C80&lt;&gt;"HEARING")),"INVALID SCHEDULE",IF(AND(G80&lt;&gt;"",OR(NOT(ISNUMBER(G80)),G80&lt;Assumptions!$B$5)),"INVALID REVIEW DATE",IF(AND(F80&lt;&gt;"",F80&lt;Assumptions!$B$5,G80=""),"STALE SCHEDULE","OK")))))))))</f>
        <v>OK</v>
      </c>
    </row>
    <row r="81" spans="1:9" ht="22" customHeight="1">
      <c r="A81" s="4" t="s">
        <v>238</v>
      </c>
      <c r="B81" s="6">
        <v>46296</v>
      </c>
      <c r="C81" s="4" t="s">
        <v>64</v>
      </c>
      <c r="D81" s="6">
        <v>46143</v>
      </c>
      <c r="E81" s="4" t="s">
        <v>162</v>
      </c>
      <c r="F81" s="6"/>
      <c r="G81" s="6"/>
      <c r="H81" s="4" t="s">
        <v>163</v>
      </c>
      <c r="I81" s="11" t="str">
        <f>IF(A81="",IF(COUNTA(B81:H81)&gt;0,"MISSING ID",""),IF(COUNTIFS($A$6:$A$205,A81)&lt;&gt;1,"DUPLICATE ID",IF(AND(C81&lt;&gt;"INITIAL",C81&lt;&gt;"RECON",C81&lt;&gt;"HEARING"),"UNKNOWN STAGE",IF(OR(NOT(ISNUMBER(B81)),B81&gt;Assumptions!$B$5),"INVALID SNAPSHOT",IF(OR(NOT(ISNUMBER(D81)),D81&gt;Assumptions!$B$5),"MISSING / FUTURE START",IF(COUNTIFS(Benchmarks!$A$6:$A$164,E81)&lt;&gt;1,"UNKNOWN OFFICE",IF(AND(F81&lt;&gt;"",OR(NOT(ISNUMBER(F81)),C81&lt;&gt;"HEARING")),"INVALID SCHEDULE",IF(AND(G81&lt;&gt;"",OR(NOT(ISNUMBER(G81)),G81&lt;Assumptions!$B$5)),"INVALID REVIEW DATE",IF(AND(F81&lt;&gt;"",F81&lt;Assumptions!$B$5,G81=""),"STALE SCHEDULE","OK")))))))))</f>
        <v>OK</v>
      </c>
    </row>
    <row r="82" spans="1:9" ht="22" customHeight="1">
      <c r="A82" s="4" t="s">
        <v>239</v>
      </c>
      <c r="B82" s="6">
        <v>46296</v>
      </c>
      <c r="C82" s="4" t="s">
        <v>64</v>
      </c>
      <c r="D82" s="6">
        <v>46143</v>
      </c>
      <c r="E82" s="4" t="s">
        <v>162</v>
      </c>
      <c r="F82" s="6"/>
      <c r="G82" s="6"/>
      <c r="H82" s="4" t="s">
        <v>163</v>
      </c>
      <c r="I82" s="11" t="str">
        <f>IF(A82="",IF(COUNTA(B82:H82)&gt;0,"MISSING ID",""),IF(COUNTIFS($A$6:$A$205,A82)&lt;&gt;1,"DUPLICATE ID",IF(AND(C82&lt;&gt;"INITIAL",C82&lt;&gt;"RECON",C82&lt;&gt;"HEARING"),"UNKNOWN STAGE",IF(OR(NOT(ISNUMBER(B82)),B82&gt;Assumptions!$B$5),"INVALID SNAPSHOT",IF(OR(NOT(ISNUMBER(D82)),D82&gt;Assumptions!$B$5),"MISSING / FUTURE START",IF(COUNTIFS(Benchmarks!$A$6:$A$164,E82)&lt;&gt;1,"UNKNOWN OFFICE",IF(AND(F82&lt;&gt;"",OR(NOT(ISNUMBER(F82)),C82&lt;&gt;"HEARING")),"INVALID SCHEDULE",IF(AND(G82&lt;&gt;"",OR(NOT(ISNUMBER(G82)),G82&lt;Assumptions!$B$5)),"INVALID REVIEW DATE",IF(AND(F82&lt;&gt;"",F82&lt;Assumptions!$B$5,G82=""),"STALE SCHEDULE","OK")))))))))</f>
        <v>OK</v>
      </c>
    </row>
    <row r="83" spans="1:9" ht="22" customHeight="1">
      <c r="A83" s="4" t="s">
        <v>240</v>
      </c>
      <c r="B83" s="6">
        <v>46296</v>
      </c>
      <c r="C83" s="4" t="s">
        <v>64</v>
      </c>
      <c r="D83" s="6">
        <v>46143</v>
      </c>
      <c r="E83" s="4" t="s">
        <v>162</v>
      </c>
      <c r="F83" s="6"/>
      <c r="G83" s="6"/>
      <c r="H83" s="4" t="s">
        <v>163</v>
      </c>
      <c r="I83" s="11" t="str">
        <f>IF(A83="",IF(COUNTA(B83:H83)&gt;0,"MISSING ID",""),IF(COUNTIFS($A$6:$A$205,A83)&lt;&gt;1,"DUPLICATE ID",IF(AND(C83&lt;&gt;"INITIAL",C83&lt;&gt;"RECON",C83&lt;&gt;"HEARING"),"UNKNOWN STAGE",IF(OR(NOT(ISNUMBER(B83)),B83&gt;Assumptions!$B$5),"INVALID SNAPSHOT",IF(OR(NOT(ISNUMBER(D83)),D83&gt;Assumptions!$B$5),"MISSING / FUTURE START",IF(COUNTIFS(Benchmarks!$A$6:$A$164,E83)&lt;&gt;1,"UNKNOWN OFFICE",IF(AND(F83&lt;&gt;"",OR(NOT(ISNUMBER(F83)),C83&lt;&gt;"HEARING")),"INVALID SCHEDULE",IF(AND(G83&lt;&gt;"",OR(NOT(ISNUMBER(G83)),G83&lt;Assumptions!$B$5)),"INVALID REVIEW DATE",IF(AND(F83&lt;&gt;"",F83&lt;Assumptions!$B$5,G83=""),"STALE SCHEDULE","OK")))))))))</f>
        <v>OK</v>
      </c>
    </row>
    <row r="84" spans="1:9" ht="22" customHeight="1">
      <c r="A84" s="4" t="s">
        <v>241</v>
      </c>
      <c r="B84" s="6">
        <v>46296</v>
      </c>
      <c r="C84" s="4" t="s">
        <v>64</v>
      </c>
      <c r="D84" s="6">
        <v>46143</v>
      </c>
      <c r="E84" s="4" t="s">
        <v>162</v>
      </c>
      <c r="F84" s="6"/>
      <c r="G84" s="6"/>
      <c r="H84" s="4" t="s">
        <v>163</v>
      </c>
      <c r="I84" s="11" t="str">
        <f>IF(A84="",IF(COUNTA(B84:H84)&gt;0,"MISSING ID",""),IF(COUNTIFS($A$6:$A$205,A84)&lt;&gt;1,"DUPLICATE ID",IF(AND(C84&lt;&gt;"INITIAL",C84&lt;&gt;"RECON",C84&lt;&gt;"HEARING"),"UNKNOWN STAGE",IF(OR(NOT(ISNUMBER(B84)),B84&gt;Assumptions!$B$5),"INVALID SNAPSHOT",IF(OR(NOT(ISNUMBER(D84)),D84&gt;Assumptions!$B$5),"MISSING / FUTURE START",IF(COUNTIFS(Benchmarks!$A$6:$A$164,E84)&lt;&gt;1,"UNKNOWN OFFICE",IF(AND(F84&lt;&gt;"",OR(NOT(ISNUMBER(F84)),C84&lt;&gt;"HEARING")),"INVALID SCHEDULE",IF(AND(G84&lt;&gt;"",OR(NOT(ISNUMBER(G84)),G84&lt;Assumptions!$B$5)),"INVALID REVIEW DATE",IF(AND(F84&lt;&gt;"",F84&lt;Assumptions!$B$5,G84=""),"STALE SCHEDULE","OK")))))))))</f>
        <v>OK</v>
      </c>
    </row>
    <row r="85" spans="1:9" ht="22" customHeight="1">
      <c r="A85" s="4" t="s">
        <v>242</v>
      </c>
      <c r="B85" s="6">
        <v>46296</v>
      </c>
      <c r="C85" s="4" t="s">
        <v>64</v>
      </c>
      <c r="D85" s="6">
        <v>46143</v>
      </c>
      <c r="E85" s="4" t="s">
        <v>162</v>
      </c>
      <c r="F85" s="6"/>
      <c r="G85" s="6"/>
      <c r="H85" s="4" t="s">
        <v>163</v>
      </c>
      <c r="I85" s="11" t="str">
        <f>IF(A85="",IF(COUNTA(B85:H85)&gt;0,"MISSING ID",""),IF(COUNTIFS($A$6:$A$205,A85)&lt;&gt;1,"DUPLICATE ID",IF(AND(C85&lt;&gt;"INITIAL",C85&lt;&gt;"RECON",C85&lt;&gt;"HEARING"),"UNKNOWN STAGE",IF(OR(NOT(ISNUMBER(B85)),B85&gt;Assumptions!$B$5),"INVALID SNAPSHOT",IF(OR(NOT(ISNUMBER(D85)),D85&gt;Assumptions!$B$5),"MISSING / FUTURE START",IF(COUNTIFS(Benchmarks!$A$6:$A$164,E85)&lt;&gt;1,"UNKNOWN OFFICE",IF(AND(F85&lt;&gt;"",OR(NOT(ISNUMBER(F85)),C85&lt;&gt;"HEARING")),"INVALID SCHEDULE",IF(AND(G85&lt;&gt;"",OR(NOT(ISNUMBER(G85)),G85&lt;Assumptions!$B$5)),"INVALID REVIEW DATE",IF(AND(F85&lt;&gt;"",F85&lt;Assumptions!$B$5,G85=""),"STALE SCHEDULE","OK")))))))))</f>
        <v>OK</v>
      </c>
    </row>
    <row r="86" spans="1:9" ht="22" customHeight="1">
      <c r="A86" s="4" t="s">
        <v>243</v>
      </c>
      <c r="B86" s="6">
        <v>46296</v>
      </c>
      <c r="C86" s="4" t="s">
        <v>64</v>
      </c>
      <c r="D86" s="6">
        <v>46023</v>
      </c>
      <c r="E86" s="4" t="s">
        <v>162</v>
      </c>
      <c r="F86" s="6"/>
      <c r="G86" s="6"/>
      <c r="H86" s="4" t="s">
        <v>244</v>
      </c>
      <c r="I86" s="11" t="str">
        <f>IF(A86="",IF(COUNTA(B86:H86)&gt;0,"MISSING ID",""),IF(COUNTIFS($A$6:$A$205,A86)&lt;&gt;1,"DUPLICATE ID",IF(AND(C86&lt;&gt;"INITIAL",C86&lt;&gt;"RECON",C86&lt;&gt;"HEARING"),"UNKNOWN STAGE",IF(OR(NOT(ISNUMBER(B86)),B86&gt;Assumptions!$B$5),"INVALID SNAPSHOT",IF(OR(NOT(ISNUMBER(D86)),D86&gt;Assumptions!$B$5),"MISSING / FUTURE START",IF(COUNTIFS(Benchmarks!$A$6:$A$164,E86)&lt;&gt;1,"UNKNOWN OFFICE",IF(AND(F86&lt;&gt;"",OR(NOT(ISNUMBER(F86)),C86&lt;&gt;"HEARING")),"INVALID SCHEDULE",IF(AND(G86&lt;&gt;"",OR(NOT(ISNUMBER(G86)),G86&lt;Assumptions!$B$5)),"INVALID REVIEW DATE",IF(AND(F86&lt;&gt;"",F86&lt;Assumptions!$B$5,G86=""),"STALE SCHEDULE","OK")))))))))</f>
        <v>OK</v>
      </c>
    </row>
    <row r="87" spans="1:9" ht="22" customHeight="1">
      <c r="A87" s="4" t="s">
        <v>245</v>
      </c>
      <c r="B87" s="6">
        <v>46296</v>
      </c>
      <c r="C87" s="4" t="s">
        <v>64</v>
      </c>
      <c r="D87" s="6">
        <v>46023</v>
      </c>
      <c r="E87" s="4" t="s">
        <v>162</v>
      </c>
      <c r="F87" s="6"/>
      <c r="G87" s="6"/>
      <c r="H87" s="4" t="s">
        <v>244</v>
      </c>
      <c r="I87" s="11" t="str">
        <f>IF(A87="",IF(COUNTA(B87:H87)&gt;0,"MISSING ID",""),IF(COUNTIFS($A$6:$A$205,A87)&lt;&gt;1,"DUPLICATE ID",IF(AND(C87&lt;&gt;"INITIAL",C87&lt;&gt;"RECON",C87&lt;&gt;"HEARING"),"UNKNOWN STAGE",IF(OR(NOT(ISNUMBER(B87)),B87&gt;Assumptions!$B$5),"INVALID SNAPSHOT",IF(OR(NOT(ISNUMBER(D87)),D87&gt;Assumptions!$B$5),"MISSING / FUTURE START",IF(COUNTIFS(Benchmarks!$A$6:$A$164,E87)&lt;&gt;1,"UNKNOWN OFFICE",IF(AND(F87&lt;&gt;"",OR(NOT(ISNUMBER(F87)),C87&lt;&gt;"HEARING")),"INVALID SCHEDULE",IF(AND(G87&lt;&gt;"",OR(NOT(ISNUMBER(G87)),G87&lt;Assumptions!$B$5)),"INVALID REVIEW DATE",IF(AND(F87&lt;&gt;"",F87&lt;Assumptions!$B$5,G87=""),"STALE SCHEDULE","OK")))))))))</f>
        <v>OK</v>
      </c>
    </row>
    <row r="88" spans="1:9" ht="22" customHeight="1">
      <c r="A88" s="4" t="s">
        <v>246</v>
      </c>
      <c r="B88" s="6">
        <v>46296</v>
      </c>
      <c r="C88" s="4" t="s">
        <v>64</v>
      </c>
      <c r="D88" s="6">
        <v>46023</v>
      </c>
      <c r="E88" s="4" t="s">
        <v>162</v>
      </c>
      <c r="F88" s="6"/>
      <c r="G88" s="6"/>
      <c r="H88" s="4" t="s">
        <v>244</v>
      </c>
      <c r="I88" s="11" t="str">
        <f>IF(A88="",IF(COUNTA(B88:H88)&gt;0,"MISSING ID",""),IF(COUNTIFS($A$6:$A$205,A88)&lt;&gt;1,"DUPLICATE ID",IF(AND(C88&lt;&gt;"INITIAL",C88&lt;&gt;"RECON",C88&lt;&gt;"HEARING"),"UNKNOWN STAGE",IF(OR(NOT(ISNUMBER(B88)),B88&gt;Assumptions!$B$5),"INVALID SNAPSHOT",IF(OR(NOT(ISNUMBER(D88)),D88&gt;Assumptions!$B$5),"MISSING / FUTURE START",IF(COUNTIFS(Benchmarks!$A$6:$A$164,E88)&lt;&gt;1,"UNKNOWN OFFICE",IF(AND(F88&lt;&gt;"",OR(NOT(ISNUMBER(F88)),C88&lt;&gt;"HEARING")),"INVALID SCHEDULE",IF(AND(G88&lt;&gt;"",OR(NOT(ISNUMBER(G88)),G88&lt;Assumptions!$B$5)),"INVALID REVIEW DATE",IF(AND(F88&lt;&gt;"",F88&lt;Assumptions!$B$5,G88=""),"STALE SCHEDULE","OK")))))))))</f>
        <v>OK</v>
      </c>
    </row>
    <row r="89" spans="1:9" ht="22" customHeight="1">
      <c r="A89" s="4" t="s">
        <v>247</v>
      </c>
      <c r="B89" s="6">
        <v>46296</v>
      </c>
      <c r="C89" s="4" t="s">
        <v>64</v>
      </c>
      <c r="D89" s="6">
        <v>46023</v>
      </c>
      <c r="E89" s="4" t="s">
        <v>162</v>
      </c>
      <c r="F89" s="6"/>
      <c r="G89" s="6"/>
      <c r="H89" s="4" t="s">
        <v>244</v>
      </c>
      <c r="I89" s="11" t="str">
        <f>IF(A89="",IF(COUNTA(B89:H89)&gt;0,"MISSING ID",""),IF(COUNTIFS($A$6:$A$205,A89)&lt;&gt;1,"DUPLICATE ID",IF(AND(C89&lt;&gt;"INITIAL",C89&lt;&gt;"RECON",C89&lt;&gt;"HEARING"),"UNKNOWN STAGE",IF(OR(NOT(ISNUMBER(B89)),B89&gt;Assumptions!$B$5),"INVALID SNAPSHOT",IF(OR(NOT(ISNUMBER(D89)),D89&gt;Assumptions!$B$5),"MISSING / FUTURE START",IF(COUNTIFS(Benchmarks!$A$6:$A$164,E89)&lt;&gt;1,"UNKNOWN OFFICE",IF(AND(F89&lt;&gt;"",OR(NOT(ISNUMBER(F89)),C89&lt;&gt;"HEARING")),"INVALID SCHEDULE",IF(AND(G89&lt;&gt;"",OR(NOT(ISNUMBER(G89)),G89&lt;Assumptions!$B$5)),"INVALID REVIEW DATE",IF(AND(F89&lt;&gt;"",F89&lt;Assumptions!$B$5,G89=""),"STALE SCHEDULE","OK")))))))))</f>
        <v>OK</v>
      </c>
    </row>
    <row r="90" spans="1:9" ht="22" customHeight="1">
      <c r="A90" s="4" t="s">
        <v>248</v>
      </c>
      <c r="B90" s="6">
        <v>46296</v>
      </c>
      <c r="C90" s="4" t="s">
        <v>64</v>
      </c>
      <c r="D90" s="6">
        <v>46023</v>
      </c>
      <c r="E90" s="4" t="s">
        <v>162</v>
      </c>
      <c r="F90" s="6"/>
      <c r="G90" s="6"/>
      <c r="H90" s="4" t="s">
        <v>244</v>
      </c>
      <c r="I90" s="11" t="str">
        <f>IF(A90="",IF(COUNTA(B90:H90)&gt;0,"MISSING ID",""),IF(COUNTIFS($A$6:$A$205,A90)&lt;&gt;1,"DUPLICATE ID",IF(AND(C90&lt;&gt;"INITIAL",C90&lt;&gt;"RECON",C90&lt;&gt;"HEARING"),"UNKNOWN STAGE",IF(OR(NOT(ISNUMBER(B90)),B90&gt;Assumptions!$B$5),"INVALID SNAPSHOT",IF(OR(NOT(ISNUMBER(D90)),D90&gt;Assumptions!$B$5),"MISSING / FUTURE START",IF(COUNTIFS(Benchmarks!$A$6:$A$164,E90)&lt;&gt;1,"UNKNOWN OFFICE",IF(AND(F90&lt;&gt;"",OR(NOT(ISNUMBER(F90)),C90&lt;&gt;"HEARING")),"INVALID SCHEDULE",IF(AND(G90&lt;&gt;"",OR(NOT(ISNUMBER(G90)),G90&lt;Assumptions!$B$5)),"INVALID REVIEW DATE",IF(AND(F90&lt;&gt;"",F90&lt;Assumptions!$B$5,G90=""),"STALE SCHEDULE","OK")))))))))</f>
        <v>OK</v>
      </c>
    </row>
    <row r="91" spans="1:9" ht="22" customHeight="1">
      <c r="A91" s="4" t="s">
        <v>249</v>
      </c>
      <c r="B91" s="6">
        <v>46296</v>
      </c>
      <c r="C91" s="4" t="s">
        <v>64</v>
      </c>
      <c r="D91" s="6">
        <v>46023</v>
      </c>
      <c r="E91" s="4" t="s">
        <v>162</v>
      </c>
      <c r="F91" s="6"/>
      <c r="G91" s="6"/>
      <c r="H91" s="4" t="s">
        <v>244</v>
      </c>
      <c r="I91" s="11" t="str">
        <f>IF(A91="",IF(COUNTA(B91:H91)&gt;0,"MISSING ID",""),IF(COUNTIFS($A$6:$A$205,A91)&lt;&gt;1,"DUPLICATE ID",IF(AND(C91&lt;&gt;"INITIAL",C91&lt;&gt;"RECON",C91&lt;&gt;"HEARING"),"UNKNOWN STAGE",IF(OR(NOT(ISNUMBER(B91)),B91&gt;Assumptions!$B$5),"INVALID SNAPSHOT",IF(OR(NOT(ISNUMBER(D91)),D91&gt;Assumptions!$B$5),"MISSING / FUTURE START",IF(COUNTIFS(Benchmarks!$A$6:$A$164,E91)&lt;&gt;1,"UNKNOWN OFFICE",IF(AND(F91&lt;&gt;"",OR(NOT(ISNUMBER(F91)),C91&lt;&gt;"HEARING")),"INVALID SCHEDULE",IF(AND(G91&lt;&gt;"",OR(NOT(ISNUMBER(G91)),G91&lt;Assumptions!$B$5)),"INVALID REVIEW DATE",IF(AND(F91&lt;&gt;"",F91&lt;Assumptions!$B$5,G91=""),"STALE SCHEDULE","OK")))))))))</f>
        <v>OK</v>
      </c>
    </row>
    <row r="92" spans="1:9" ht="22" customHeight="1">
      <c r="A92" s="4" t="s">
        <v>250</v>
      </c>
      <c r="B92" s="6">
        <v>46296</v>
      </c>
      <c r="C92" s="4" t="s">
        <v>64</v>
      </c>
      <c r="D92" s="6">
        <v>46023</v>
      </c>
      <c r="E92" s="4" t="s">
        <v>162</v>
      </c>
      <c r="F92" s="6"/>
      <c r="G92" s="6"/>
      <c r="H92" s="4" t="s">
        <v>244</v>
      </c>
      <c r="I92" s="11" t="str">
        <f>IF(A92="",IF(COUNTA(B92:H92)&gt;0,"MISSING ID",""),IF(COUNTIFS($A$6:$A$205,A92)&lt;&gt;1,"DUPLICATE ID",IF(AND(C92&lt;&gt;"INITIAL",C92&lt;&gt;"RECON",C92&lt;&gt;"HEARING"),"UNKNOWN STAGE",IF(OR(NOT(ISNUMBER(B92)),B92&gt;Assumptions!$B$5),"INVALID SNAPSHOT",IF(OR(NOT(ISNUMBER(D92)),D92&gt;Assumptions!$B$5),"MISSING / FUTURE START",IF(COUNTIFS(Benchmarks!$A$6:$A$164,E92)&lt;&gt;1,"UNKNOWN OFFICE",IF(AND(F92&lt;&gt;"",OR(NOT(ISNUMBER(F92)),C92&lt;&gt;"HEARING")),"INVALID SCHEDULE",IF(AND(G92&lt;&gt;"",OR(NOT(ISNUMBER(G92)),G92&lt;Assumptions!$B$5)),"INVALID REVIEW DATE",IF(AND(F92&lt;&gt;"",F92&lt;Assumptions!$B$5,G92=""),"STALE SCHEDULE","OK")))))))))</f>
        <v>OK</v>
      </c>
    </row>
    <row r="93" spans="1:9" ht="22" customHeight="1">
      <c r="A93" s="4" t="s">
        <v>251</v>
      </c>
      <c r="B93" s="6">
        <v>46296</v>
      </c>
      <c r="C93" s="4" t="s">
        <v>64</v>
      </c>
      <c r="D93" s="6">
        <v>46023</v>
      </c>
      <c r="E93" s="4" t="s">
        <v>162</v>
      </c>
      <c r="F93" s="6"/>
      <c r="G93" s="6"/>
      <c r="H93" s="4" t="s">
        <v>244</v>
      </c>
      <c r="I93" s="11" t="str">
        <f>IF(A93="",IF(COUNTA(B93:H93)&gt;0,"MISSING ID",""),IF(COUNTIFS($A$6:$A$205,A93)&lt;&gt;1,"DUPLICATE ID",IF(AND(C93&lt;&gt;"INITIAL",C93&lt;&gt;"RECON",C93&lt;&gt;"HEARING"),"UNKNOWN STAGE",IF(OR(NOT(ISNUMBER(B93)),B93&gt;Assumptions!$B$5),"INVALID SNAPSHOT",IF(OR(NOT(ISNUMBER(D93)),D93&gt;Assumptions!$B$5),"MISSING / FUTURE START",IF(COUNTIFS(Benchmarks!$A$6:$A$164,E93)&lt;&gt;1,"UNKNOWN OFFICE",IF(AND(F93&lt;&gt;"",OR(NOT(ISNUMBER(F93)),C93&lt;&gt;"HEARING")),"INVALID SCHEDULE",IF(AND(G93&lt;&gt;"",OR(NOT(ISNUMBER(G93)),G93&lt;Assumptions!$B$5)),"INVALID REVIEW DATE",IF(AND(F93&lt;&gt;"",F93&lt;Assumptions!$B$5,G93=""),"STALE SCHEDULE","OK")))))))))</f>
        <v>OK</v>
      </c>
    </row>
    <row r="94" spans="1:9" ht="22" customHeight="1">
      <c r="A94" s="4" t="s">
        <v>252</v>
      </c>
      <c r="B94" s="6">
        <v>46296</v>
      </c>
      <c r="C94" s="4" t="s">
        <v>64</v>
      </c>
      <c r="D94" s="6">
        <v>46023</v>
      </c>
      <c r="E94" s="4" t="s">
        <v>162</v>
      </c>
      <c r="F94" s="6"/>
      <c r="G94" s="6"/>
      <c r="H94" s="4" t="s">
        <v>244</v>
      </c>
      <c r="I94" s="11" t="str">
        <f>IF(A94="",IF(COUNTA(B94:H94)&gt;0,"MISSING ID",""),IF(COUNTIFS($A$6:$A$205,A94)&lt;&gt;1,"DUPLICATE ID",IF(AND(C94&lt;&gt;"INITIAL",C94&lt;&gt;"RECON",C94&lt;&gt;"HEARING"),"UNKNOWN STAGE",IF(OR(NOT(ISNUMBER(B94)),B94&gt;Assumptions!$B$5),"INVALID SNAPSHOT",IF(OR(NOT(ISNUMBER(D94)),D94&gt;Assumptions!$B$5),"MISSING / FUTURE START",IF(COUNTIFS(Benchmarks!$A$6:$A$164,E94)&lt;&gt;1,"UNKNOWN OFFICE",IF(AND(F94&lt;&gt;"",OR(NOT(ISNUMBER(F94)),C94&lt;&gt;"HEARING")),"INVALID SCHEDULE",IF(AND(G94&lt;&gt;"",OR(NOT(ISNUMBER(G94)),G94&lt;Assumptions!$B$5)),"INVALID REVIEW DATE",IF(AND(F94&lt;&gt;"",F94&lt;Assumptions!$B$5,G94=""),"STALE SCHEDULE","OK")))))))))</f>
        <v>OK</v>
      </c>
    </row>
    <row r="95" spans="1:9" ht="22" customHeight="1">
      <c r="A95" s="4" t="s">
        <v>253</v>
      </c>
      <c r="B95" s="6">
        <v>46296</v>
      </c>
      <c r="C95" s="4" t="s">
        <v>64</v>
      </c>
      <c r="D95" s="6">
        <v>46023</v>
      </c>
      <c r="E95" s="4" t="s">
        <v>162</v>
      </c>
      <c r="F95" s="6"/>
      <c r="G95" s="6"/>
      <c r="H95" s="4" t="s">
        <v>244</v>
      </c>
      <c r="I95" s="11" t="str">
        <f>IF(A95="",IF(COUNTA(B95:H95)&gt;0,"MISSING ID",""),IF(COUNTIFS($A$6:$A$205,A95)&lt;&gt;1,"DUPLICATE ID",IF(AND(C95&lt;&gt;"INITIAL",C95&lt;&gt;"RECON",C95&lt;&gt;"HEARING"),"UNKNOWN STAGE",IF(OR(NOT(ISNUMBER(B95)),B95&gt;Assumptions!$B$5),"INVALID SNAPSHOT",IF(OR(NOT(ISNUMBER(D95)),D95&gt;Assumptions!$B$5),"MISSING / FUTURE START",IF(COUNTIFS(Benchmarks!$A$6:$A$164,E95)&lt;&gt;1,"UNKNOWN OFFICE",IF(AND(F95&lt;&gt;"",OR(NOT(ISNUMBER(F95)),C95&lt;&gt;"HEARING")),"INVALID SCHEDULE",IF(AND(G95&lt;&gt;"",OR(NOT(ISNUMBER(G95)),G95&lt;Assumptions!$B$5)),"INVALID REVIEW DATE",IF(AND(F95&lt;&gt;"",F95&lt;Assumptions!$B$5,G95=""),"STALE SCHEDULE","OK")))))))))</f>
        <v>OK</v>
      </c>
    </row>
    <row r="96" spans="1:9" ht="22" customHeight="1">
      <c r="A96" s="4" t="s">
        <v>254</v>
      </c>
      <c r="B96" s="6">
        <v>46296</v>
      </c>
      <c r="C96" s="4" t="s">
        <v>64</v>
      </c>
      <c r="D96" s="6">
        <v>46082</v>
      </c>
      <c r="E96" s="4" t="s">
        <v>162</v>
      </c>
      <c r="F96" s="6">
        <v>46327</v>
      </c>
      <c r="G96" s="6"/>
      <c r="H96" s="4" t="s">
        <v>163</v>
      </c>
      <c r="I96" s="11" t="str">
        <f>IF(A96="",IF(COUNTA(B96:H96)&gt;0,"MISSING ID",""),IF(COUNTIFS($A$6:$A$205,A96)&lt;&gt;1,"DUPLICATE ID",IF(AND(C96&lt;&gt;"INITIAL",C96&lt;&gt;"RECON",C96&lt;&gt;"HEARING"),"UNKNOWN STAGE",IF(OR(NOT(ISNUMBER(B96)),B96&gt;Assumptions!$B$5),"INVALID SNAPSHOT",IF(OR(NOT(ISNUMBER(D96)),D96&gt;Assumptions!$B$5),"MISSING / FUTURE START",IF(COUNTIFS(Benchmarks!$A$6:$A$164,E96)&lt;&gt;1,"UNKNOWN OFFICE",IF(AND(F96&lt;&gt;"",OR(NOT(ISNUMBER(F96)),C96&lt;&gt;"HEARING")),"INVALID SCHEDULE",IF(AND(G96&lt;&gt;"",OR(NOT(ISNUMBER(G96)),G96&lt;Assumptions!$B$5)),"INVALID REVIEW DATE",IF(AND(F96&lt;&gt;"",F96&lt;Assumptions!$B$5,G96=""),"STALE SCHEDULE","OK")))))))))</f>
        <v>OK</v>
      </c>
    </row>
    <row r="97" spans="1:9" ht="22" customHeight="1">
      <c r="A97" s="4" t="s">
        <v>255</v>
      </c>
      <c r="B97" s="6">
        <v>46296</v>
      </c>
      <c r="C97" s="4" t="s">
        <v>64</v>
      </c>
      <c r="D97" s="6">
        <v>46082</v>
      </c>
      <c r="E97" s="4" t="s">
        <v>162</v>
      </c>
      <c r="F97" s="6">
        <v>46327</v>
      </c>
      <c r="G97" s="6"/>
      <c r="H97" s="4" t="s">
        <v>163</v>
      </c>
      <c r="I97" s="11" t="str">
        <f>IF(A97="",IF(COUNTA(B97:H97)&gt;0,"MISSING ID",""),IF(COUNTIFS($A$6:$A$205,A97)&lt;&gt;1,"DUPLICATE ID",IF(AND(C97&lt;&gt;"INITIAL",C97&lt;&gt;"RECON",C97&lt;&gt;"HEARING"),"UNKNOWN STAGE",IF(OR(NOT(ISNUMBER(B97)),B97&gt;Assumptions!$B$5),"INVALID SNAPSHOT",IF(OR(NOT(ISNUMBER(D97)),D97&gt;Assumptions!$B$5),"MISSING / FUTURE START",IF(COUNTIFS(Benchmarks!$A$6:$A$164,E97)&lt;&gt;1,"UNKNOWN OFFICE",IF(AND(F97&lt;&gt;"",OR(NOT(ISNUMBER(F97)),C97&lt;&gt;"HEARING")),"INVALID SCHEDULE",IF(AND(G97&lt;&gt;"",OR(NOT(ISNUMBER(G97)),G97&lt;Assumptions!$B$5)),"INVALID REVIEW DATE",IF(AND(F97&lt;&gt;"",F97&lt;Assumptions!$B$5,G97=""),"STALE SCHEDULE","OK")))))))))</f>
        <v>OK</v>
      </c>
    </row>
    <row r="98" spans="1:9" ht="22" customHeight="1">
      <c r="A98" s="4" t="s">
        <v>256</v>
      </c>
      <c r="B98" s="6">
        <v>46296</v>
      </c>
      <c r="C98" s="4" t="s">
        <v>64</v>
      </c>
      <c r="D98" s="6">
        <v>46082</v>
      </c>
      <c r="E98" s="4" t="s">
        <v>162</v>
      </c>
      <c r="F98" s="6">
        <v>46327</v>
      </c>
      <c r="G98" s="6"/>
      <c r="H98" s="4" t="s">
        <v>163</v>
      </c>
      <c r="I98" s="11" t="str">
        <f>IF(A98="",IF(COUNTA(B98:H98)&gt;0,"MISSING ID",""),IF(COUNTIFS($A$6:$A$205,A98)&lt;&gt;1,"DUPLICATE ID",IF(AND(C98&lt;&gt;"INITIAL",C98&lt;&gt;"RECON",C98&lt;&gt;"HEARING"),"UNKNOWN STAGE",IF(OR(NOT(ISNUMBER(B98)),B98&gt;Assumptions!$B$5),"INVALID SNAPSHOT",IF(OR(NOT(ISNUMBER(D98)),D98&gt;Assumptions!$B$5),"MISSING / FUTURE START",IF(COUNTIFS(Benchmarks!$A$6:$A$164,E98)&lt;&gt;1,"UNKNOWN OFFICE",IF(AND(F98&lt;&gt;"",OR(NOT(ISNUMBER(F98)),C98&lt;&gt;"HEARING")),"INVALID SCHEDULE",IF(AND(G98&lt;&gt;"",OR(NOT(ISNUMBER(G98)),G98&lt;Assumptions!$B$5)),"INVALID REVIEW DATE",IF(AND(F98&lt;&gt;"",F98&lt;Assumptions!$B$5,G98=""),"STALE SCHEDULE","OK")))))))))</f>
        <v>OK</v>
      </c>
    </row>
    <row r="99" spans="1:9" ht="22" customHeight="1">
      <c r="A99" s="4" t="s">
        <v>257</v>
      </c>
      <c r="B99" s="6">
        <v>46296</v>
      </c>
      <c r="C99" s="4" t="s">
        <v>64</v>
      </c>
      <c r="D99" s="6">
        <v>46082</v>
      </c>
      <c r="E99" s="4" t="s">
        <v>162</v>
      </c>
      <c r="F99" s="6">
        <v>46327</v>
      </c>
      <c r="G99" s="6"/>
      <c r="H99" s="4" t="s">
        <v>163</v>
      </c>
      <c r="I99" s="11" t="str">
        <f>IF(A99="",IF(COUNTA(B99:H99)&gt;0,"MISSING ID",""),IF(COUNTIFS($A$6:$A$205,A99)&lt;&gt;1,"DUPLICATE ID",IF(AND(C99&lt;&gt;"INITIAL",C99&lt;&gt;"RECON",C99&lt;&gt;"HEARING"),"UNKNOWN STAGE",IF(OR(NOT(ISNUMBER(B99)),B99&gt;Assumptions!$B$5),"INVALID SNAPSHOT",IF(OR(NOT(ISNUMBER(D99)),D99&gt;Assumptions!$B$5),"MISSING / FUTURE START",IF(COUNTIFS(Benchmarks!$A$6:$A$164,E99)&lt;&gt;1,"UNKNOWN OFFICE",IF(AND(F99&lt;&gt;"",OR(NOT(ISNUMBER(F99)),C99&lt;&gt;"HEARING")),"INVALID SCHEDULE",IF(AND(G99&lt;&gt;"",OR(NOT(ISNUMBER(G99)),G99&lt;Assumptions!$B$5)),"INVALID REVIEW DATE",IF(AND(F99&lt;&gt;"",F99&lt;Assumptions!$B$5,G99=""),"STALE SCHEDULE","OK")))))))))</f>
        <v>OK</v>
      </c>
    </row>
    <row r="100" spans="1:9" ht="22" customHeight="1">
      <c r="A100" s="4" t="s">
        <v>258</v>
      </c>
      <c r="B100" s="6">
        <v>46296</v>
      </c>
      <c r="C100" s="4" t="s">
        <v>64</v>
      </c>
      <c r="D100" s="6">
        <v>46082</v>
      </c>
      <c r="E100" s="4" t="s">
        <v>162</v>
      </c>
      <c r="F100" s="6">
        <v>46327</v>
      </c>
      <c r="G100" s="6"/>
      <c r="H100" s="4" t="s">
        <v>163</v>
      </c>
      <c r="I100" s="11" t="str">
        <f>IF(A100="",IF(COUNTA(B100:H100)&gt;0,"MISSING ID",""),IF(COUNTIFS($A$6:$A$205,A100)&lt;&gt;1,"DUPLICATE ID",IF(AND(C100&lt;&gt;"INITIAL",C100&lt;&gt;"RECON",C100&lt;&gt;"HEARING"),"UNKNOWN STAGE",IF(OR(NOT(ISNUMBER(B100)),B100&gt;Assumptions!$B$5),"INVALID SNAPSHOT",IF(OR(NOT(ISNUMBER(D100)),D100&gt;Assumptions!$B$5),"MISSING / FUTURE START",IF(COUNTIFS(Benchmarks!$A$6:$A$164,E100)&lt;&gt;1,"UNKNOWN OFFICE",IF(AND(F100&lt;&gt;"",OR(NOT(ISNUMBER(F100)),C100&lt;&gt;"HEARING")),"INVALID SCHEDULE",IF(AND(G100&lt;&gt;"",OR(NOT(ISNUMBER(G100)),G100&lt;Assumptions!$B$5)),"INVALID REVIEW DATE",IF(AND(F100&lt;&gt;"",F100&lt;Assumptions!$B$5,G100=""),"STALE SCHEDULE","OK")))))))))</f>
        <v>OK</v>
      </c>
    </row>
    <row r="101" spans="1:9" ht="22" customHeight="1">
      <c r="A101" s="4" t="s">
        <v>259</v>
      </c>
      <c r="B101" s="6">
        <v>46296</v>
      </c>
      <c r="C101" s="4" t="s">
        <v>64</v>
      </c>
      <c r="D101" s="6">
        <v>46082</v>
      </c>
      <c r="E101" s="4" t="s">
        <v>162</v>
      </c>
      <c r="F101" s="6">
        <v>46357</v>
      </c>
      <c r="G101" s="6"/>
      <c r="H101" s="4" t="s">
        <v>163</v>
      </c>
      <c r="I101" s="11" t="str">
        <f>IF(A101="",IF(COUNTA(B101:H101)&gt;0,"MISSING ID",""),IF(COUNTIFS($A$6:$A$205,A101)&lt;&gt;1,"DUPLICATE ID",IF(AND(C101&lt;&gt;"INITIAL",C101&lt;&gt;"RECON",C101&lt;&gt;"HEARING"),"UNKNOWN STAGE",IF(OR(NOT(ISNUMBER(B101)),B101&gt;Assumptions!$B$5),"INVALID SNAPSHOT",IF(OR(NOT(ISNUMBER(D101)),D101&gt;Assumptions!$B$5),"MISSING / FUTURE START",IF(COUNTIFS(Benchmarks!$A$6:$A$164,E101)&lt;&gt;1,"UNKNOWN OFFICE",IF(AND(F101&lt;&gt;"",OR(NOT(ISNUMBER(F101)),C101&lt;&gt;"HEARING")),"INVALID SCHEDULE",IF(AND(G101&lt;&gt;"",OR(NOT(ISNUMBER(G101)),G101&lt;Assumptions!$B$5)),"INVALID REVIEW DATE",IF(AND(F101&lt;&gt;"",F101&lt;Assumptions!$B$5,G101=""),"STALE SCHEDULE","OK")))))))))</f>
        <v>OK</v>
      </c>
    </row>
    <row r="102" spans="1:9" ht="22" customHeight="1">
      <c r="A102" s="4" t="s">
        <v>260</v>
      </c>
      <c r="B102" s="6">
        <v>46296</v>
      </c>
      <c r="C102" s="4" t="s">
        <v>64</v>
      </c>
      <c r="D102" s="6">
        <v>46082</v>
      </c>
      <c r="E102" s="4" t="s">
        <v>162</v>
      </c>
      <c r="F102" s="6">
        <v>46357</v>
      </c>
      <c r="G102" s="6"/>
      <c r="H102" s="4" t="s">
        <v>163</v>
      </c>
      <c r="I102" s="11" t="str">
        <f>IF(A102="",IF(COUNTA(B102:H102)&gt;0,"MISSING ID",""),IF(COUNTIFS($A$6:$A$205,A102)&lt;&gt;1,"DUPLICATE ID",IF(AND(C102&lt;&gt;"INITIAL",C102&lt;&gt;"RECON",C102&lt;&gt;"HEARING"),"UNKNOWN STAGE",IF(OR(NOT(ISNUMBER(B102)),B102&gt;Assumptions!$B$5),"INVALID SNAPSHOT",IF(OR(NOT(ISNUMBER(D102)),D102&gt;Assumptions!$B$5),"MISSING / FUTURE START",IF(COUNTIFS(Benchmarks!$A$6:$A$164,E102)&lt;&gt;1,"UNKNOWN OFFICE",IF(AND(F102&lt;&gt;"",OR(NOT(ISNUMBER(F102)),C102&lt;&gt;"HEARING")),"INVALID SCHEDULE",IF(AND(G102&lt;&gt;"",OR(NOT(ISNUMBER(G102)),G102&lt;Assumptions!$B$5)),"INVALID REVIEW DATE",IF(AND(F102&lt;&gt;"",F102&lt;Assumptions!$B$5,G102=""),"STALE SCHEDULE","OK")))))))))</f>
        <v>OK</v>
      </c>
    </row>
    <row r="103" spans="1:9" ht="22" customHeight="1">
      <c r="A103" s="4" t="s">
        <v>261</v>
      </c>
      <c r="B103" s="6">
        <v>46296</v>
      </c>
      <c r="C103" s="4" t="s">
        <v>64</v>
      </c>
      <c r="D103" s="6">
        <v>46082</v>
      </c>
      <c r="E103" s="4" t="s">
        <v>162</v>
      </c>
      <c r="F103" s="6">
        <v>46357</v>
      </c>
      <c r="G103" s="6"/>
      <c r="H103" s="4" t="s">
        <v>163</v>
      </c>
      <c r="I103" s="11" t="str">
        <f>IF(A103="",IF(COUNTA(B103:H103)&gt;0,"MISSING ID",""),IF(COUNTIFS($A$6:$A$205,A103)&lt;&gt;1,"DUPLICATE ID",IF(AND(C103&lt;&gt;"INITIAL",C103&lt;&gt;"RECON",C103&lt;&gt;"HEARING"),"UNKNOWN STAGE",IF(OR(NOT(ISNUMBER(B103)),B103&gt;Assumptions!$B$5),"INVALID SNAPSHOT",IF(OR(NOT(ISNUMBER(D103)),D103&gt;Assumptions!$B$5),"MISSING / FUTURE START",IF(COUNTIFS(Benchmarks!$A$6:$A$164,E103)&lt;&gt;1,"UNKNOWN OFFICE",IF(AND(F103&lt;&gt;"",OR(NOT(ISNUMBER(F103)),C103&lt;&gt;"HEARING")),"INVALID SCHEDULE",IF(AND(G103&lt;&gt;"",OR(NOT(ISNUMBER(G103)),G103&lt;Assumptions!$B$5)),"INVALID REVIEW DATE",IF(AND(F103&lt;&gt;"",F103&lt;Assumptions!$B$5,G103=""),"STALE SCHEDULE","OK")))))))))</f>
        <v>OK</v>
      </c>
    </row>
    <row r="104" spans="1:9" ht="22" customHeight="1">
      <c r="A104" s="4" t="s">
        <v>262</v>
      </c>
      <c r="B104" s="6">
        <v>46296</v>
      </c>
      <c r="C104" s="4" t="s">
        <v>64</v>
      </c>
      <c r="D104" s="6">
        <v>46082</v>
      </c>
      <c r="E104" s="4" t="s">
        <v>162</v>
      </c>
      <c r="F104" s="6">
        <v>46357</v>
      </c>
      <c r="G104" s="6"/>
      <c r="H104" s="4" t="s">
        <v>163</v>
      </c>
      <c r="I104" s="11" t="str">
        <f>IF(A104="",IF(COUNTA(B104:H104)&gt;0,"MISSING ID",""),IF(COUNTIFS($A$6:$A$205,A104)&lt;&gt;1,"DUPLICATE ID",IF(AND(C104&lt;&gt;"INITIAL",C104&lt;&gt;"RECON",C104&lt;&gt;"HEARING"),"UNKNOWN STAGE",IF(OR(NOT(ISNUMBER(B104)),B104&gt;Assumptions!$B$5),"INVALID SNAPSHOT",IF(OR(NOT(ISNUMBER(D104)),D104&gt;Assumptions!$B$5),"MISSING / FUTURE START",IF(COUNTIFS(Benchmarks!$A$6:$A$164,E104)&lt;&gt;1,"UNKNOWN OFFICE",IF(AND(F104&lt;&gt;"",OR(NOT(ISNUMBER(F104)),C104&lt;&gt;"HEARING")),"INVALID SCHEDULE",IF(AND(G104&lt;&gt;"",OR(NOT(ISNUMBER(G104)),G104&lt;Assumptions!$B$5)),"INVALID REVIEW DATE",IF(AND(F104&lt;&gt;"",F104&lt;Assumptions!$B$5,G104=""),"STALE SCHEDULE","OK")))))))))</f>
        <v>OK</v>
      </c>
    </row>
    <row r="105" spans="1:9" ht="22" customHeight="1">
      <c r="A105" s="4" t="s">
        <v>263</v>
      </c>
      <c r="B105" s="6">
        <v>46296</v>
      </c>
      <c r="C105" s="4" t="s">
        <v>64</v>
      </c>
      <c r="D105" s="6">
        <v>46082</v>
      </c>
      <c r="E105" s="4" t="s">
        <v>162</v>
      </c>
      <c r="F105" s="6">
        <v>46357</v>
      </c>
      <c r="G105" s="6"/>
      <c r="H105" s="4" t="s">
        <v>163</v>
      </c>
      <c r="I105" s="11" t="str">
        <f>IF(A105="",IF(COUNTA(B105:H105)&gt;0,"MISSING ID",""),IF(COUNTIFS($A$6:$A$205,A105)&lt;&gt;1,"DUPLICATE ID",IF(AND(C105&lt;&gt;"INITIAL",C105&lt;&gt;"RECON",C105&lt;&gt;"HEARING"),"UNKNOWN STAGE",IF(OR(NOT(ISNUMBER(B105)),B105&gt;Assumptions!$B$5),"INVALID SNAPSHOT",IF(OR(NOT(ISNUMBER(D105)),D105&gt;Assumptions!$B$5),"MISSING / FUTURE START",IF(COUNTIFS(Benchmarks!$A$6:$A$164,E105)&lt;&gt;1,"UNKNOWN OFFICE",IF(AND(F105&lt;&gt;"",OR(NOT(ISNUMBER(F105)),C105&lt;&gt;"HEARING")),"INVALID SCHEDULE",IF(AND(G105&lt;&gt;"",OR(NOT(ISNUMBER(G105)),G105&lt;Assumptions!$B$5)),"INVALID REVIEW DATE",IF(AND(F105&lt;&gt;"",F105&lt;Assumptions!$B$5,G105=""),"STALE SCHEDULE","OK")))))))))</f>
        <v>OK</v>
      </c>
    </row>
    <row r="106" spans="1:9" ht="22" customHeight="1">
      <c r="A106" s="4"/>
      <c r="B106" s="6"/>
      <c r="C106" s="4"/>
      <c r="D106" s="6"/>
      <c r="E106" s="4"/>
      <c r="F106" s="6"/>
      <c r="G106" s="6"/>
      <c r="H106" s="4"/>
      <c r="I106" s="11" t="str">
        <f>IF(A106="",IF(COUNTA(B106:H106)&gt;0,"MISSING ID",""),IF(COUNTIFS($A$6:$A$205,A106)&lt;&gt;1,"DUPLICATE ID",IF(AND(C106&lt;&gt;"INITIAL",C106&lt;&gt;"RECON",C106&lt;&gt;"HEARING"),"UNKNOWN STAGE",IF(OR(NOT(ISNUMBER(B106)),B106&gt;Assumptions!$B$5),"INVALID SNAPSHOT",IF(OR(NOT(ISNUMBER(D106)),D106&gt;Assumptions!$B$5),"MISSING / FUTURE START",IF(COUNTIFS(Benchmarks!$A$6:$A$164,E106)&lt;&gt;1,"UNKNOWN OFFICE",IF(AND(F106&lt;&gt;"",OR(NOT(ISNUMBER(F106)),C106&lt;&gt;"HEARING")),"INVALID SCHEDULE",IF(AND(G106&lt;&gt;"",OR(NOT(ISNUMBER(G106)),G106&lt;Assumptions!$B$5)),"INVALID REVIEW DATE",IF(AND(F106&lt;&gt;"",F106&lt;Assumptions!$B$5,G106=""),"STALE SCHEDULE","OK")))))))))</f>
        <v/>
      </c>
    </row>
    <row r="107" spans="1:9" ht="22" customHeight="1">
      <c r="A107" s="4"/>
      <c r="B107" s="6"/>
      <c r="C107" s="4"/>
      <c r="D107" s="6"/>
      <c r="E107" s="4"/>
      <c r="F107" s="6"/>
      <c r="G107" s="6"/>
      <c r="H107" s="4"/>
      <c r="I107" s="11" t="str">
        <f>IF(A107="",IF(COUNTA(B107:H107)&gt;0,"MISSING ID",""),IF(COUNTIFS($A$6:$A$205,A107)&lt;&gt;1,"DUPLICATE ID",IF(AND(C107&lt;&gt;"INITIAL",C107&lt;&gt;"RECON",C107&lt;&gt;"HEARING"),"UNKNOWN STAGE",IF(OR(NOT(ISNUMBER(B107)),B107&gt;Assumptions!$B$5),"INVALID SNAPSHOT",IF(OR(NOT(ISNUMBER(D107)),D107&gt;Assumptions!$B$5),"MISSING / FUTURE START",IF(COUNTIFS(Benchmarks!$A$6:$A$164,E107)&lt;&gt;1,"UNKNOWN OFFICE",IF(AND(F107&lt;&gt;"",OR(NOT(ISNUMBER(F107)),C107&lt;&gt;"HEARING")),"INVALID SCHEDULE",IF(AND(G107&lt;&gt;"",OR(NOT(ISNUMBER(G107)),G107&lt;Assumptions!$B$5)),"INVALID REVIEW DATE",IF(AND(F107&lt;&gt;"",F107&lt;Assumptions!$B$5,G107=""),"STALE SCHEDULE","OK")))))))))</f>
        <v/>
      </c>
    </row>
    <row r="108" spans="1:9" ht="22" customHeight="1">
      <c r="A108" s="4"/>
      <c r="B108" s="6"/>
      <c r="C108" s="4"/>
      <c r="D108" s="6"/>
      <c r="E108" s="4"/>
      <c r="F108" s="6"/>
      <c r="G108" s="6"/>
      <c r="H108" s="4"/>
      <c r="I108" s="11" t="str">
        <f>IF(A108="",IF(COUNTA(B108:H108)&gt;0,"MISSING ID",""),IF(COUNTIFS($A$6:$A$205,A108)&lt;&gt;1,"DUPLICATE ID",IF(AND(C108&lt;&gt;"INITIAL",C108&lt;&gt;"RECON",C108&lt;&gt;"HEARING"),"UNKNOWN STAGE",IF(OR(NOT(ISNUMBER(B108)),B108&gt;Assumptions!$B$5),"INVALID SNAPSHOT",IF(OR(NOT(ISNUMBER(D108)),D108&gt;Assumptions!$B$5),"MISSING / FUTURE START",IF(COUNTIFS(Benchmarks!$A$6:$A$164,E108)&lt;&gt;1,"UNKNOWN OFFICE",IF(AND(F108&lt;&gt;"",OR(NOT(ISNUMBER(F108)),C108&lt;&gt;"HEARING")),"INVALID SCHEDULE",IF(AND(G108&lt;&gt;"",OR(NOT(ISNUMBER(G108)),G108&lt;Assumptions!$B$5)),"INVALID REVIEW DATE",IF(AND(F108&lt;&gt;"",F108&lt;Assumptions!$B$5,G108=""),"STALE SCHEDULE","OK")))))))))</f>
        <v/>
      </c>
    </row>
    <row r="109" spans="1:9" ht="22" customHeight="1">
      <c r="A109" s="4"/>
      <c r="B109" s="6"/>
      <c r="C109" s="4"/>
      <c r="D109" s="6"/>
      <c r="E109" s="4"/>
      <c r="F109" s="6"/>
      <c r="G109" s="6"/>
      <c r="H109" s="4"/>
      <c r="I109" s="11" t="str">
        <f>IF(A109="",IF(COUNTA(B109:H109)&gt;0,"MISSING ID",""),IF(COUNTIFS($A$6:$A$205,A109)&lt;&gt;1,"DUPLICATE ID",IF(AND(C109&lt;&gt;"INITIAL",C109&lt;&gt;"RECON",C109&lt;&gt;"HEARING"),"UNKNOWN STAGE",IF(OR(NOT(ISNUMBER(B109)),B109&gt;Assumptions!$B$5),"INVALID SNAPSHOT",IF(OR(NOT(ISNUMBER(D109)),D109&gt;Assumptions!$B$5),"MISSING / FUTURE START",IF(COUNTIFS(Benchmarks!$A$6:$A$164,E109)&lt;&gt;1,"UNKNOWN OFFICE",IF(AND(F109&lt;&gt;"",OR(NOT(ISNUMBER(F109)),C109&lt;&gt;"HEARING")),"INVALID SCHEDULE",IF(AND(G109&lt;&gt;"",OR(NOT(ISNUMBER(G109)),G109&lt;Assumptions!$B$5)),"INVALID REVIEW DATE",IF(AND(F109&lt;&gt;"",F109&lt;Assumptions!$B$5,G109=""),"STALE SCHEDULE","OK")))))))))</f>
        <v/>
      </c>
    </row>
    <row r="110" spans="1:9" ht="22" customHeight="1">
      <c r="A110" s="4"/>
      <c r="B110" s="6"/>
      <c r="C110" s="4"/>
      <c r="D110" s="6"/>
      <c r="E110" s="4"/>
      <c r="F110" s="6"/>
      <c r="G110" s="6"/>
      <c r="H110" s="4"/>
      <c r="I110" s="11" t="str">
        <f>IF(A110="",IF(COUNTA(B110:H110)&gt;0,"MISSING ID",""),IF(COUNTIFS($A$6:$A$205,A110)&lt;&gt;1,"DUPLICATE ID",IF(AND(C110&lt;&gt;"INITIAL",C110&lt;&gt;"RECON",C110&lt;&gt;"HEARING"),"UNKNOWN STAGE",IF(OR(NOT(ISNUMBER(B110)),B110&gt;Assumptions!$B$5),"INVALID SNAPSHOT",IF(OR(NOT(ISNUMBER(D110)),D110&gt;Assumptions!$B$5),"MISSING / FUTURE START",IF(COUNTIFS(Benchmarks!$A$6:$A$164,E110)&lt;&gt;1,"UNKNOWN OFFICE",IF(AND(F110&lt;&gt;"",OR(NOT(ISNUMBER(F110)),C110&lt;&gt;"HEARING")),"INVALID SCHEDULE",IF(AND(G110&lt;&gt;"",OR(NOT(ISNUMBER(G110)),G110&lt;Assumptions!$B$5)),"INVALID REVIEW DATE",IF(AND(F110&lt;&gt;"",F110&lt;Assumptions!$B$5,G110=""),"STALE SCHEDULE","OK")))))))))</f>
        <v/>
      </c>
    </row>
    <row r="111" spans="1:9" ht="22" customHeight="1">
      <c r="A111" s="4"/>
      <c r="B111" s="6"/>
      <c r="C111" s="4"/>
      <c r="D111" s="6"/>
      <c r="E111" s="4"/>
      <c r="F111" s="6"/>
      <c r="G111" s="6"/>
      <c r="H111" s="4"/>
      <c r="I111" s="11" t="str">
        <f>IF(A111="",IF(COUNTA(B111:H111)&gt;0,"MISSING ID",""),IF(COUNTIFS($A$6:$A$205,A111)&lt;&gt;1,"DUPLICATE ID",IF(AND(C111&lt;&gt;"INITIAL",C111&lt;&gt;"RECON",C111&lt;&gt;"HEARING"),"UNKNOWN STAGE",IF(OR(NOT(ISNUMBER(B111)),B111&gt;Assumptions!$B$5),"INVALID SNAPSHOT",IF(OR(NOT(ISNUMBER(D111)),D111&gt;Assumptions!$B$5),"MISSING / FUTURE START",IF(COUNTIFS(Benchmarks!$A$6:$A$164,E111)&lt;&gt;1,"UNKNOWN OFFICE",IF(AND(F111&lt;&gt;"",OR(NOT(ISNUMBER(F111)),C111&lt;&gt;"HEARING")),"INVALID SCHEDULE",IF(AND(G111&lt;&gt;"",OR(NOT(ISNUMBER(G111)),G111&lt;Assumptions!$B$5)),"INVALID REVIEW DATE",IF(AND(F111&lt;&gt;"",F111&lt;Assumptions!$B$5,G111=""),"STALE SCHEDULE","OK")))))))))</f>
        <v/>
      </c>
    </row>
    <row r="112" spans="1:9" ht="22" customHeight="1">
      <c r="A112" s="4"/>
      <c r="B112" s="6"/>
      <c r="C112" s="4"/>
      <c r="D112" s="6"/>
      <c r="E112" s="4"/>
      <c r="F112" s="6"/>
      <c r="G112" s="6"/>
      <c r="H112" s="4"/>
      <c r="I112" s="11" t="str">
        <f>IF(A112="",IF(COUNTA(B112:H112)&gt;0,"MISSING ID",""),IF(COUNTIFS($A$6:$A$205,A112)&lt;&gt;1,"DUPLICATE ID",IF(AND(C112&lt;&gt;"INITIAL",C112&lt;&gt;"RECON",C112&lt;&gt;"HEARING"),"UNKNOWN STAGE",IF(OR(NOT(ISNUMBER(B112)),B112&gt;Assumptions!$B$5),"INVALID SNAPSHOT",IF(OR(NOT(ISNUMBER(D112)),D112&gt;Assumptions!$B$5),"MISSING / FUTURE START",IF(COUNTIFS(Benchmarks!$A$6:$A$164,E112)&lt;&gt;1,"UNKNOWN OFFICE",IF(AND(F112&lt;&gt;"",OR(NOT(ISNUMBER(F112)),C112&lt;&gt;"HEARING")),"INVALID SCHEDULE",IF(AND(G112&lt;&gt;"",OR(NOT(ISNUMBER(G112)),G112&lt;Assumptions!$B$5)),"INVALID REVIEW DATE",IF(AND(F112&lt;&gt;"",F112&lt;Assumptions!$B$5,G112=""),"STALE SCHEDULE","OK")))))))))</f>
        <v/>
      </c>
    </row>
    <row r="113" spans="1:9" ht="22" customHeight="1">
      <c r="A113" s="4"/>
      <c r="B113" s="6"/>
      <c r="C113" s="4"/>
      <c r="D113" s="6"/>
      <c r="E113" s="4"/>
      <c r="F113" s="6"/>
      <c r="G113" s="6"/>
      <c r="H113" s="4"/>
      <c r="I113" s="11" t="str">
        <f>IF(A113="",IF(COUNTA(B113:H113)&gt;0,"MISSING ID",""),IF(COUNTIFS($A$6:$A$205,A113)&lt;&gt;1,"DUPLICATE ID",IF(AND(C113&lt;&gt;"INITIAL",C113&lt;&gt;"RECON",C113&lt;&gt;"HEARING"),"UNKNOWN STAGE",IF(OR(NOT(ISNUMBER(B113)),B113&gt;Assumptions!$B$5),"INVALID SNAPSHOT",IF(OR(NOT(ISNUMBER(D113)),D113&gt;Assumptions!$B$5),"MISSING / FUTURE START",IF(COUNTIFS(Benchmarks!$A$6:$A$164,E113)&lt;&gt;1,"UNKNOWN OFFICE",IF(AND(F113&lt;&gt;"",OR(NOT(ISNUMBER(F113)),C113&lt;&gt;"HEARING")),"INVALID SCHEDULE",IF(AND(G113&lt;&gt;"",OR(NOT(ISNUMBER(G113)),G113&lt;Assumptions!$B$5)),"INVALID REVIEW DATE",IF(AND(F113&lt;&gt;"",F113&lt;Assumptions!$B$5,G113=""),"STALE SCHEDULE","OK")))))))))</f>
        <v/>
      </c>
    </row>
    <row r="114" spans="1:9" ht="22" customHeight="1">
      <c r="A114" s="4"/>
      <c r="B114" s="6"/>
      <c r="C114" s="4"/>
      <c r="D114" s="6"/>
      <c r="E114" s="4"/>
      <c r="F114" s="6"/>
      <c r="G114" s="6"/>
      <c r="H114" s="4"/>
      <c r="I114" s="11" t="str">
        <f>IF(A114="",IF(COUNTA(B114:H114)&gt;0,"MISSING ID",""),IF(COUNTIFS($A$6:$A$205,A114)&lt;&gt;1,"DUPLICATE ID",IF(AND(C114&lt;&gt;"INITIAL",C114&lt;&gt;"RECON",C114&lt;&gt;"HEARING"),"UNKNOWN STAGE",IF(OR(NOT(ISNUMBER(B114)),B114&gt;Assumptions!$B$5),"INVALID SNAPSHOT",IF(OR(NOT(ISNUMBER(D114)),D114&gt;Assumptions!$B$5),"MISSING / FUTURE START",IF(COUNTIFS(Benchmarks!$A$6:$A$164,E114)&lt;&gt;1,"UNKNOWN OFFICE",IF(AND(F114&lt;&gt;"",OR(NOT(ISNUMBER(F114)),C114&lt;&gt;"HEARING")),"INVALID SCHEDULE",IF(AND(G114&lt;&gt;"",OR(NOT(ISNUMBER(G114)),G114&lt;Assumptions!$B$5)),"INVALID REVIEW DATE",IF(AND(F114&lt;&gt;"",F114&lt;Assumptions!$B$5,G114=""),"STALE SCHEDULE","OK")))))))))</f>
        <v/>
      </c>
    </row>
    <row r="115" spans="1:9" ht="22" customHeight="1">
      <c r="A115" s="4"/>
      <c r="B115" s="6"/>
      <c r="C115" s="4"/>
      <c r="D115" s="6"/>
      <c r="E115" s="4"/>
      <c r="F115" s="6"/>
      <c r="G115" s="6"/>
      <c r="H115" s="4"/>
      <c r="I115" s="11" t="str">
        <f>IF(A115="",IF(COUNTA(B115:H115)&gt;0,"MISSING ID",""),IF(COUNTIFS($A$6:$A$205,A115)&lt;&gt;1,"DUPLICATE ID",IF(AND(C115&lt;&gt;"INITIAL",C115&lt;&gt;"RECON",C115&lt;&gt;"HEARING"),"UNKNOWN STAGE",IF(OR(NOT(ISNUMBER(B115)),B115&gt;Assumptions!$B$5),"INVALID SNAPSHOT",IF(OR(NOT(ISNUMBER(D115)),D115&gt;Assumptions!$B$5),"MISSING / FUTURE START",IF(COUNTIFS(Benchmarks!$A$6:$A$164,E115)&lt;&gt;1,"UNKNOWN OFFICE",IF(AND(F115&lt;&gt;"",OR(NOT(ISNUMBER(F115)),C115&lt;&gt;"HEARING")),"INVALID SCHEDULE",IF(AND(G115&lt;&gt;"",OR(NOT(ISNUMBER(G115)),G115&lt;Assumptions!$B$5)),"INVALID REVIEW DATE",IF(AND(F115&lt;&gt;"",F115&lt;Assumptions!$B$5,G115=""),"STALE SCHEDULE","OK")))))))))</f>
        <v/>
      </c>
    </row>
    <row r="116" spans="1:9" ht="22" customHeight="1">
      <c r="A116" s="4"/>
      <c r="B116" s="6"/>
      <c r="C116" s="4"/>
      <c r="D116" s="6"/>
      <c r="E116" s="4"/>
      <c r="F116" s="6"/>
      <c r="G116" s="6"/>
      <c r="H116" s="4"/>
      <c r="I116" s="11" t="str">
        <f>IF(A116="",IF(COUNTA(B116:H116)&gt;0,"MISSING ID",""),IF(COUNTIFS($A$6:$A$205,A116)&lt;&gt;1,"DUPLICATE ID",IF(AND(C116&lt;&gt;"INITIAL",C116&lt;&gt;"RECON",C116&lt;&gt;"HEARING"),"UNKNOWN STAGE",IF(OR(NOT(ISNUMBER(B116)),B116&gt;Assumptions!$B$5),"INVALID SNAPSHOT",IF(OR(NOT(ISNUMBER(D116)),D116&gt;Assumptions!$B$5),"MISSING / FUTURE START",IF(COUNTIFS(Benchmarks!$A$6:$A$164,E116)&lt;&gt;1,"UNKNOWN OFFICE",IF(AND(F116&lt;&gt;"",OR(NOT(ISNUMBER(F116)),C116&lt;&gt;"HEARING")),"INVALID SCHEDULE",IF(AND(G116&lt;&gt;"",OR(NOT(ISNUMBER(G116)),G116&lt;Assumptions!$B$5)),"INVALID REVIEW DATE",IF(AND(F116&lt;&gt;"",F116&lt;Assumptions!$B$5,G116=""),"STALE SCHEDULE","OK")))))))))</f>
        <v/>
      </c>
    </row>
    <row r="117" spans="1:9" ht="22" customHeight="1">
      <c r="A117" s="4"/>
      <c r="B117" s="6"/>
      <c r="C117" s="4"/>
      <c r="D117" s="6"/>
      <c r="E117" s="4"/>
      <c r="F117" s="6"/>
      <c r="G117" s="6"/>
      <c r="H117" s="4"/>
      <c r="I117" s="11" t="str">
        <f>IF(A117="",IF(COUNTA(B117:H117)&gt;0,"MISSING ID",""),IF(COUNTIFS($A$6:$A$205,A117)&lt;&gt;1,"DUPLICATE ID",IF(AND(C117&lt;&gt;"INITIAL",C117&lt;&gt;"RECON",C117&lt;&gt;"HEARING"),"UNKNOWN STAGE",IF(OR(NOT(ISNUMBER(B117)),B117&gt;Assumptions!$B$5),"INVALID SNAPSHOT",IF(OR(NOT(ISNUMBER(D117)),D117&gt;Assumptions!$B$5),"MISSING / FUTURE START",IF(COUNTIFS(Benchmarks!$A$6:$A$164,E117)&lt;&gt;1,"UNKNOWN OFFICE",IF(AND(F117&lt;&gt;"",OR(NOT(ISNUMBER(F117)),C117&lt;&gt;"HEARING")),"INVALID SCHEDULE",IF(AND(G117&lt;&gt;"",OR(NOT(ISNUMBER(G117)),G117&lt;Assumptions!$B$5)),"INVALID REVIEW DATE",IF(AND(F117&lt;&gt;"",F117&lt;Assumptions!$B$5,G117=""),"STALE SCHEDULE","OK")))))))))</f>
        <v/>
      </c>
    </row>
    <row r="118" spans="1:9" ht="22" customHeight="1">
      <c r="A118" s="4"/>
      <c r="B118" s="6"/>
      <c r="C118" s="4"/>
      <c r="D118" s="6"/>
      <c r="E118" s="4"/>
      <c r="F118" s="6"/>
      <c r="G118" s="6"/>
      <c r="H118" s="4"/>
      <c r="I118" s="11" t="str">
        <f>IF(A118="",IF(COUNTA(B118:H118)&gt;0,"MISSING ID",""),IF(COUNTIFS($A$6:$A$205,A118)&lt;&gt;1,"DUPLICATE ID",IF(AND(C118&lt;&gt;"INITIAL",C118&lt;&gt;"RECON",C118&lt;&gt;"HEARING"),"UNKNOWN STAGE",IF(OR(NOT(ISNUMBER(B118)),B118&gt;Assumptions!$B$5),"INVALID SNAPSHOT",IF(OR(NOT(ISNUMBER(D118)),D118&gt;Assumptions!$B$5),"MISSING / FUTURE START",IF(COUNTIFS(Benchmarks!$A$6:$A$164,E118)&lt;&gt;1,"UNKNOWN OFFICE",IF(AND(F118&lt;&gt;"",OR(NOT(ISNUMBER(F118)),C118&lt;&gt;"HEARING")),"INVALID SCHEDULE",IF(AND(G118&lt;&gt;"",OR(NOT(ISNUMBER(G118)),G118&lt;Assumptions!$B$5)),"INVALID REVIEW DATE",IF(AND(F118&lt;&gt;"",F118&lt;Assumptions!$B$5,G118=""),"STALE SCHEDULE","OK")))))))))</f>
        <v/>
      </c>
    </row>
    <row r="119" spans="1:9" ht="22" customHeight="1">
      <c r="A119" s="4"/>
      <c r="B119" s="6"/>
      <c r="C119" s="4"/>
      <c r="D119" s="6"/>
      <c r="E119" s="4"/>
      <c r="F119" s="6"/>
      <c r="G119" s="6"/>
      <c r="H119" s="4"/>
      <c r="I119" s="11" t="str">
        <f>IF(A119="",IF(COUNTA(B119:H119)&gt;0,"MISSING ID",""),IF(COUNTIFS($A$6:$A$205,A119)&lt;&gt;1,"DUPLICATE ID",IF(AND(C119&lt;&gt;"INITIAL",C119&lt;&gt;"RECON",C119&lt;&gt;"HEARING"),"UNKNOWN STAGE",IF(OR(NOT(ISNUMBER(B119)),B119&gt;Assumptions!$B$5),"INVALID SNAPSHOT",IF(OR(NOT(ISNUMBER(D119)),D119&gt;Assumptions!$B$5),"MISSING / FUTURE START",IF(COUNTIFS(Benchmarks!$A$6:$A$164,E119)&lt;&gt;1,"UNKNOWN OFFICE",IF(AND(F119&lt;&gt;"",OR(NOT(ISNUMBER(F119)),C119&lt;&gt;"HEARING")),"INVALID SCHEDULE",IF(AND(G119&lt;&gt;"",OR(NOT(ISNUMBER(G119)),G119&lt;Assumptions!$B$5)),"INVALID REVIEW DATE",IF(AND(F119&lt;&gt;"",F119&lt;Assumptions!$B$5,G119=""),"STALE SCHEDULE","OK")))))))))</f>
        <v/>
      </c>
    </row>
    <row r="120" spans="1:9" ht="22" customHeight="1">
      <c r="A120" s="4"/>
      <c r="B120" s="6"/>
      <c r="C120" s="4"/>
      <c r="D120" s="6"/>
      <c r="E120" s="4"/>
      <c r="F120" s="6"/>
      <c r="G120" s="6"/>
      <c r="H120" s="4"/>
      <c r="I120" s="11" t="str">
        <f>IF(A120="",IF(COUNTA(B120:H120)&gt;0,"MISSING ID",""),IF(COUNTIFS($A$6:$A$205,A120)&lt;&gt;1,"DUPLICATE ID",IF(AND(C120&lt;&gt;"INITIAL",C120&lt;&gt;"RECON",C120&lt;&gt;"HEARING"),"UNKNOWN STAGE",IF(OR(NOT(ISNUMBER(B120)),B120&gt;Assumptions!$B$5),"INVALID SNAPSHOT",IF(OR(NOT(ISNUMBER(D120)),D120&gt;Assumptions!$B$5),"MISSING / FUTURE START",IF(COUNTIFS(Benchmarks!$A$6:$A$164,E120)&lt;&gt;1,"UNKNOWN OFFICE",IF(AND(F120&lt;&gt;"",OR(NOT(ISNUMBER(F120)),C120&lt;&gt;"HEARING")),"INVALID SCHEDULE",IF(AND(G120&lt;&gt;"",OR(NOT(ISNUMBER(G120)),G120&lt;Assumptions!$B$5)),"INVALID REVIEW DATE",IF(AND(F120&lt;&gt;"",F120&lt;Assumptions!$B$5,G120=""),"STALE SCHEDULE","OK")))))))))</f>
        <v/>
      </c>
    </row>
    <row r="121" spans="1:9" ht="22" customHeight="1">
      <c r="A121" s="4"/>
      <c r="B121" s="6"/>
      <c r="C121" s="4"/>
      <c r="D121" s="6"/>
      <c r="E121" s="4"/>
      <c r="F121" s="6"/>
      <c r="G121" s="6"/>
      <c r="H121" s="4"/>
      <c r="I121" s="11" t="str">
        <f>IF(A121="",IF(COUNTA(B121:H121)&gt;0,"MISSING ID",""),IF(COUNTIFS($A$6:$A$205,A121)&lt;&gt;1,"DUPLICATE ID",IF(AND(C121&lt;&gt;"INITIAL",C121&lt;&gt;"RECON",C121&lt;&gt;"HEARING"),"UNKNOWN STAGE",IF(OR(NOT(ISNUMBER(B121)),B121&gt;Assumptions!$B$5),"INVALID SNAPSHOT",IF(OR(NOT(ISNUMBER(D121)),D121&gt;Assumptions!$B$5),"MISSING / FUTURE START",IF(COUNTIFS(Benchmarks!$A$6:$A$164,E121)&lt;&gt;1,"UNKNOWN OFFICE",IF(AND(F121&lt;&gt;"",OR(NOT(ISNUMBER(F121)),C121&lt;&gt;"HEARING")),"INVALID SCHEDULE",IF(AND(G121&lt;&gt;"",OR(NOT(ISNUMBER(G121)),G121&lt;Assumptions!$B$5)),"INVALID REVIEW DATE",IF(AND(F121&lt;&gt;"",F121&lt;Assumptions!$B$5,G121=""),"STALE SCHEDULE","OK")))))))))</f>
        <v/>
      </c>
    </row>
    <row r="122" spans="1:9" ht="22" customHeight="1">
      <c r="A122" s="4"/>
      <c r="B122" s="6"/>
      <c r="C122" s="4"/>
      <c r="D122" s="6"/>
      <c r="E122" s="4"/>
      <c r="F122" s="6"/>
      <c r="G122" s="6"/>
      <c r="H122" s="4"/>
      <c r="I122" s="11" t="str">
        <f>IF(A122="",IF(COUNTA(B122:H122)&gt;0,"MISSING ID",""),IF(COUNTIFS($A$6:$A$205,A122)&lt;&gt;1,"DUPLICATE ID",IF(AND(C122&lt;&gt;"INITIAL",C122&lt;&gt;"RECON",C122&lt;&gt;"HEARING"),"UNKNOWN STAGE",IF(OR(NOT(ISNUMBER(B122)),B122&gt;Assumptions!$B$5),"INVALID SNAPSHOT",IF(OR(NOT(ISNUMBER(D122)),D122&gt;Assumptions!$B$5),"MISSING / FUTURE START",IF(COUNTIFS(Benchmarks!$A$6:$A$164,E122)&lt;&gt;1,"UNKNOWN OFFICE",IF(AND(F122&lt;&gt;"",OR(NOT(ISNUMBER(F122)),C122&lt;&gt;"HEARING")),"INVALID SCHEDULE",IF(AND(G122&lt;&gt;"",OR(NOT(ISNUMBER(G122)),G122&lt;Assumptions!$B$5)),"INVALID REVIEW DATE",IF(AND(F122&lt;&gt;"",F122&lt;Assumptions!$B$5,G122=""),"STALE SCHEDULE","OK")))))))))</f>
        <v/>
      </c>
    </row>
    <row r="123" spans="1:9" ht="22" customHeight="1">
      <c r="A123" s="4"/>
      <c r="B123" s="6"/>
      <c r="C123" s="4"/>
      <c r="D123" s="6"/>
      <c r="E123" s="4"/>
      <c r="F123" s="6"/>
      <c r="G123" s="6"/>
      <c r="H123" s="4"/>
      <c r="I123" s="11" t="str">
        <f>IF(A123="",IF(COUNTA(B123:H123)&gt;0,"MISSING ID",""),IF(COUNTIFS($A$6:$A$205,A123)&lt;&gt;1,"DUPLICATE ID",IF(AND(C123&lt;&gt;"INITIAL",C123&lt;&gt;"RECON",C123&lt;&gt;"HEARING"),"UNKNOWN STAGE",IF(OR(NOT(ISNUMBER(B123)),B123&gt;Assumptions!$B$5),"INVALID SNAPSHOT",IF(OR(NOT(ISNUMBER(D123)),D123&gt;Assumptions!$B$5),"MISSING / FUTURE START",IF(COUNTIFS(Benchmarks!$A$6:$A$164,E123)&lt;&gt;1,"UNKNOWN OFFICE",IF(AND(F123&lt;&gt;"",OR(NOT(ISNUMBER(F123)),C123&lt;&gt;"HEARING")),"INVALID SCHEDULE",IF(AND(G123&lt;&gt;"",OR(NOT(ISNUMBER(G123)),G123&lt;Assumptions!$B$5)),"INVALID REVIEW DATE",IF(AND(F123&lt;&gt;"",F123&lt;Assumptions!$B$5,G123=""),"STALE SCHEDULE","OK")))))))))</f>
        <v/>
      </c>
    </row>
    <row r="124" spans="1:9" ht="22" customHeight="1">
      <c r="A124" s="4"/>
      <c r="B124" s="6"/>
      <c r="C124" s="4"/>
      <c r="D124" s="6"/>
      <c r="E124" s="4"/>
      <c r="F124" s="6"/>
      <c r="G124" s="6"/>
      <c r="H124" s="4"/>
      <c r="I124" s="11" t="str">
        <f>IF(A124="",IF(COUNTA(B124:H124)&gt;0,"MISSING ID",""),IF(COUNTIFS($A$6:$A$205,A124)&lt;&gt;1,"DUPLICATE ID",IF(AND(C124&lt;&gt;"INITIAL",C124&lt;&gt;"RECON",C124&lt;&gt;"HEARING"),"UNKNOWN STAGE",IF(OR(NOT(ISNUMBER(B124)),B124&gt;Assumptions!$B$5),"INVALID SNAPSHOT",IF(OR(NOT(ISNUMBER(D124)),D124&gt;Assumptions!$B$5),"MISSING / FUTURE START",IF(COUNTIFS(Benchmarks!$A$6:$A$164,E124)&lt;&gt;1,"UNKNOWN OFFICE",IF(AND(F124&lt;&gt;"",OR(NOT(ISNUMBER(F124)),C124&lt;&gt;"HEARING")),"INVALID SCHEDULE",IF(AND(G124&lt;&gt;"",OR(NOT(ISNUMBER(G124)),G124&lt;Assumptions!$B$5)),"INVALID REVIEW DATE",IF(AND(F124&lt;&gt;"",F124&lt;Assumptions!$B$5,G124=""),"STALE SCHEDULE","OK")))))))))</f>
        <v/>
      </c>
    </row>
    <row r="125" spans="1:9" ht="22" customHeight="1">
      <c r="A125" s="4"/>
      <c r="B125" s="6"/>
      <c r="C125" s="4"/>
      <c r="D125" s="6"/>
      <c r="E125" s="4"/>
      <c r="F125" s="6"/>
      <c r="G125" s="6"/>
      <c r="H125" s="4"/>
      <c r="I125" s="11" t="str">
        <f>IF(A125="",IF(COUNTA(B125:H125)&gt;0,"MISSING ID",""),IF(COUNTIFS($A$6:$A$205,A125)&lt;&gt;1,"DUPLICATE ID",IF(AND(C125&lt;&gt;"INITIAL",C125&lt;&gt;"RECON",C125&lt;&gt;"HEARING"),"UNKNOWN STAGE",IF(OR(NOT(ISNUMBER(B125)),B125&gt;Assumptions!$B$5),"INVALID SNAPSHOT",IF(OR(NOT(ISNUMBER(D125)),D125&gt;Assumptions!$B$5),"MISSING / FUTURE START",IF(COUNTIFS(Benchmarks!$A$6:$A$164,E125)&lt;&gt;1,"UNKNOWN OFFICE",IF(AND(F125&lt;&gt;"",OR(NOT(ISNUMBER(F125)),C125&lt;&gt;"HEARING")),"INVALID SCHEDULE",IF(AND(G125&lt;&gt;"",OR(NOT(ISNUMBER(G125)),G125&lt;Assumptions!$B$5)),"INVALID REVIEW DATE",IF(AND(F125&lt;&gt;"",F125&lt;Assumptions!$B$5,G125=""),"STALE SCHEDULE","OK")))))))))</f>
        <v/>
      </c>
    </row>
    <row r="126" spans="1:9" ht="22" customHeight="1">
      <c r="A126" s="4"/>
      <c r="B126" s="6"/>
      <c r="C126" s="4"/>
      <c r="D126" s="6"/>
      <c r="E126" s="4"/>
      <c r="F126" s="6"/>
      <c r="G126" s="6"/>
      <c r="H126" s="4"/>
      <c r="I126" s="11" t="str">
        <f>IF(A126="",IF(COUNTA(B126:H126)&gt;0,"MISSING ID",""),IF(COUNTIFS($A$6:$A$205,A126)&lt;&gt;1,"DUPLICATE ID",IF(AND(C126&lt;&gt;"INITIAL",C126&lt;&gt;"RECON",C126&lt;&gt;"HEARING"),"UNKNOWN STAGE",IF(OR(NOT(ISNUMBER(B126)),B126&gt;Assumptions!$B$5),"INVALID SNAPSHOT",IF(OR(NOT(ISNUMBER(D126)),D126&gt;Assumptions!$B$5),"MISSING / FUTURE START",IF(COUNTIFS(Benchmarks!$A$6:$A$164,E126)&lt;&gt;1,"UNKNOWN OFFICE",IF(AND(F126&lt;&gt;"",OR(NOT(ISNUMBER(F126)),C126&lt;&gt;"HEARING")),"INVALID SCHEDULE",IF(AND(G126&lt;&gt;"",OR(NOT(ISNUMBER(G126)),G126&lt;Assumptions!$B$5)),"INVALID REVIEW DATE",IF(AND(F126&lt;&gt;"",F126&lt;Assumptions!$B$5,G126=""),"STALE SCHEDULE","OK")))))))))</f>
        <v/>
      </c>
    </row>
    <row r="127" spans="1:9" ht="22" customHeight="1">
      <c r="A127" s="4"/>
      <c r="B127" s="6"/>
      <c r="C127" s="4"/>
      <c r="D127" s="6"/>
      <c r="E127" s="4"/>
      <c r="F127" s="6"/>
      <c r="G127" s="6"/>
      <c r="H127" s="4"/>
      <c r="I127" s="11" t="str">
        <f>IF(A127="",IF(COUNTA(B127:H127)&gt;0,"MISSING ID",""),IF(COUNTIFS($A$6:$A$205,A127)&lt;&gt;1,"DUPLICATE ID",IF(AND(C127&lt;&gt;"INITIAL",C127&lt;&gt;"RECON",C127&lt;&gt;"HEARING"),"UNKNOWN STAGE",IF(OR(NOT(ISNUMBER(B127)),B127&gt;Assumptions!$B$5),"INVALID SNAPSHOT",IF(OR(NOT(ISNUMBER(D127)),D127&gt;Assumptions!$B$5),"MISSING / FUTURE START",IF(COUNTIFS(Benchmarks!$A$6:$A$164,E127)&lt;&gt;1,"UNKNOWN OFFICE",IF(AND(F127&lt;&gt;"",OR(NOT(ISNUMBER(F127)),C127&lt;&gt;"HEARING")),"INVALID SCHEDULE",IF(AND(G127&lt;&gt;"",OR(NOT(ISNUMBER(G127)),G127&lt;Assumptions!$B$5)),"INVALID REVIEW DATE",IF(AND(F127&lt;&gt;"",F127&lt;Assumptions!$B$5,G127=""),"STALE SCHEDULE","OK")))))))))</f>
        <v/>
      </c>
    </row>
    <row r="128" spans="1:9" ht="22" customHeight="1">
      <c r="A128" s="4"/>
      <c r="B128" s="6"/>
      <c r="C128" s="4"/>
      <c r="D128" s="6"/>
      <c r="E128" s="4"/>
      <c r="F128" s="6"/>
      <c r="G128" s="6"/>
      <c r="H128" s="4"/>
      <c r="I128" s="11" t="str">
        <f>IF(A128="",IF(COUNTA(B128:H128)&gt;0,"MISSING ID",""),IF(COUNTIFS($A$6:$A$205,A128)&lt;&gt;1,"DUPLICATE ID",IF(AND(C128&lt;&gt;"INITIAL",C128&lt;&gt;"RECON",C128&lt;&gt;"HEARING"),"UNKNOWN STAGE",IF(OR(NOT(ISNUMBER(B128)),B128&gt;Assumptions!$B$5),"INVALID SNAPSHOT",IF(OR(NOT(ISNUMBER(D128)),D128&gt;Assumptions!$B$5),"MISSING / FUTURE START",IF(COUNTIFS(Benchmarks!$A$6:$A$164,E128)&lt;&gt;1,"UNKNOWN OFFICE",IF(AND(F128&lt;&gt;"",OR(NOT(ISNUMBER(F128)),C128&lt;&gt;"HEARING")),"INVALID SCHEDULE",IF(AND(G128&lt;&gt;"",OR(NOT(ISNUMBER(G128)),G128&lt;Assumptions!$B$5)),"INVALID REVIEW DATE",IF(AND(F128&lt;&gt;"",F128&lt;Assumptions!$B$5,G128=""),"STALE SCHEDULE","OK")))))))))</f>
        <v/>
      </c>
    </row>
    <row r="129" spans="1:9" ht="22" customHeight="1">
      <c r="A129" s="4"/>
      <c r="B129" s="6"/>
      <c r="C129" s="4"/>
      <c r="D129" s="6"/>
      <c r="E129" s="4"/>
      <c r="F129" s="6"/>
      <c r="G129" s="6"/>
      <c r="H129" s="4"/>
      <c r="I129" s="11" t="str">
        <f>IF(A129="",IF(COUNTA(B129:H129)&gt;0,"MISSING ID",""),IF(COUNTIFS($A$6:$A$205,A129)&lt;&gt;1,"DUPLICATE ID",IF(AND(C129&lt;&gt;"INITIAL",C129&lt;&gt;"RECON",C129&lt;&gt;"HEARING"),"UNKNOWN STAGE",IF(OR(NOT(ISNUMBER(B129)),B129&gt;Assumptions!$B$5),"INVALID SNAPSHOT",IF(OR(NOT(ISNUMBER(D129)),D129&gt;Assumptions!$B$5),"MISSING / FUTURE START",IF(COUNTIFS(Benchmarks!$A$6:$A$164,E129)&lt;&gt;1,"UNKNOWN OFFICE",IF(AND(F129&lt;&gt;"",OR(NOT(ISNUMBER(F129)),C129&lt;&gt;"HEARING")),"INVALID SCHEDULE",IF(AND(G129&lt;&gt;"",OR(NOT(ISNUMBER(G129)),G129&lt;Assumptions!$B$5)),"INVALID REVIEW DATE",IF(AND(F129&lt;&gt;"",F129&lt;Assumptions!$B$5,G129=""),"STALE SCHEDULE","OK")))))))))</f>
        <v/>
      </c>
    </row>
    <row r="130" spans="1:9" ht="22" customHeight="1">
      <c r="A130" s="4"/>
      <c r="B130" s="6"/>
      <c r="C130" s="4"/>
      <c r="D130" s="6"/>
      <c r="E130" s="4"/>
      <c r="F130" s="6"/>
      <c r="G130" s="6"/>
      <c r="H130" s="4"/>
      <c r="I130" s="11" t="str">
        <f>IF(A130="",IF(COUNTA(B130:H130)&gt;0,"MISSING ID",""),IF(COUNTIFS($A$6:$A$205,A130)&lt;&gt;1,"DUPLICATE ID",IF(AND(C130&lt;&gt;"INITIAL",C130&lt;&gt;"RECON",C130&lt;&gt;"HEARING"),"UNKNOWN STAGE",IF(OR(NOT(ISNUMBER(B130)),B130&gt;Assumptions!$B$5),"INVALID SNAPSHOT",IF(OR(NOT(ISNUMBER(D130)),D130&gt;Assumptions!$B$5),"MISSING / FUTURE START",IF(COUNTIFS(Benchmarks!$A$6:$A$164,E130)&lt;&gt;1,"UNKNOWN OFFICE",IF(AND(F130&lt;&gt;"",OR(NOT(ISNUMBER(F130)),C130&lt;&gt;"HEARING")),"INVALID SCHEDULE",IF(AND(G130&lt;&gt;"",OR(NOT(ISNUMBER(G130)),G130&lt;Assumptions!$B$5)),"INVALID REVIEW DATE",IF(AND(F130&lt;&gt;"",F130&lt;Assumptions!$B$5,G130=""),"STALE SCHEDULE","OK")))))))))</f>
        <v/>
      </c>
    </row>
    <row r="131" spans="1:9" ht="22" customHeight="1">
      <c r="A131" s="4"/>
      <c r="B131" s="6"/>
      <c r="C131" s="4"/>
      <c r="D131" s="6"/>
      <c r="E131" s="4"/>
      <c r="F131" s="6"/>
      <c r="G131" s="6"/>
      <c r="H131" s="4"/>
      <c r="I131" s="11" t="str">
        <f>IF(A131="",IF(COUNTA(B131:H131)&gt;0,"MISSING ID",""),IF(COUNTIFS($A$6:$A$205,A131)&lt;&gt;1,"DUPLICATE ID",IF(AND(C131&lt;&gt;"INITIAL",C131&lt;&gt;"RECON",C131&lt;&gt;"HEARING"),"UNKNOWN STAGE",IF(OR(NOT(ISNUMBER(B131)),B131&gt;Assumptions!$B$5),"INVALID SNAPSHOT",IF(OR(NOT(ISNUMBER(D131)),D131&gt;Assumptions!$B$5),"MISSING / FUTURE START",IF(COUNTIFS(Benchmarks!$A$6:$A$164,E131)&lt;&gt;1,"UNKNOWN OFFICE",IF(AND(F131&lt;&gt;"",OR(NOT(ISNUMBER(F131)),C131&lt;&gt;"HEARING")),"INVALID SCHEDULE",IF(AND(G131&lt;&gt;"",OR(NOT(ISNUMBER(G131)),G131&lt;Assumptions!$B$5)),"INVALID REVIEW DATE",IF(AND(F131&lt;&gt;"",F131&lt;Assumptions!$B$5,G131=""),"STALE SCHEDULE","OK")))))))))</f>
        <v/>
      </c>
    </row>
    <row r="132" spans="1:9" ht="22" customHeight="1">
      <c r="A132" s="4"/>
      <c r="B132" s="6"/>
      <c r="C132" s="4"/>
      <c r="D132" s="6"/>
      <c r="E132" s="4"/>
      <c r="F132" s="6"/>
      <c r="G132" s="6"/>
      <c r="H132" s="4"/>
      <c r="I132" s="11" t="str">
        <f>IF(A132="",IF(COUNTA(B132:H132)&gt;0,"MISSING ID",""),IF(COUNTIFS($A$6:$A$205,A132)&lt;&gt;1,"DUPLICATE ID",IF(AND(C132&lt;&gt;"INITIAL",C132&lt;&gt;"RECON",C132&lt;&gt;"HEARING"),"UNKNOWN STAGE",IF(OR(NOT(ISNUMBER(B132)),B132&gt;Assumptions!$B$5),"INVALID SNAPSHOT",IF(OR(NOT(ISNUMBER(D132)),D132&gt;Assumptions!$B$5),"MISSING / FUTURE START",IF(COUNTIFS(Benchmarks!$A$6:$A$164,E132)&lt;&gt;1,"UNKNOWN OFFICE",IF(AND(F132&lt;&gt;"",OR(NOT(ISNUMBER(F132)),C132&lt;&gt;"HEARING")),"INVALID SCHEDULE",IF(AND(G132&lt;&gt;"",OR(NOT(ISNUMBER(G132)),G132&lt;Assumptions!$B$5)),"INVALID REVIEW DATE",IF(AND(F132&lt;&gt;"",F132&lt;Assumptions!$B$5,G132=""),"STALE SCHEDULE","OK")))))))))</f>
        <v/>
      </c>
    </row>
    <row r="133" spans="1:9" ht="22" customHeight="1">
      <c r="A133" s="4"/>
      <c r="B133" s="6"/>
      <c r="C133" s="4"/>
      <c r="D133" s="6"/>
      <c r="E133" s="4"/>
      <c r="F133" s="6"/>
      <c r="G133" s="6"/>
      <c r="H133" s="4"/>
      <c r="I133" s="11" t="str">
        <f>IF(A133="",IF(COUNTA(B133:H133)&gt;0,"MISSING ID",""),IF(COUNTIFS($A$6:$A$205,A133)&lt;&gt;1,"DUPLICATE ID",IF(AND(C133&lt;&gt;"INITIAL",C133&lt;&gt;"RECON",C133&lt;&gt;"HEARING"),"UNKNOWN STAGE",IF(OR(NOT(ISNUMBER(B133)),B133&gt;Assumptions!$B$5),"INVALID SNAPSHOT",IF(OR(NOT(ISNUMBER(D133)),D133&gt;Assumptions!$B$5),"MISSING / FUTURE START",IF(COUNTIFS(Benchmarks!$A$6:$A$164,E133)&lt;&gt;1,"UNKNOWN OFFICE",IF(AND(F133&lt;&gt;"",OR(NOT(ISNUMBER(F133)),C133&lt;&gt;"HEARING")),"INVALID SCHEDULE",IF(AND(G133&lt;&gt;"",OR(NOT(ISNUMBER(G133)),G133&lt;Assumptions!$B$5)),"INVALID REVIEW DATE",IF(AND(F133&lt;&gt;"",F133&lt;Assumptions!$B$5,G133=""),"STALE SCHEDULE","OK")))))))))</f>
        <v/>
      </c>
    </row>
    <row r="134" spans="1:9" ht="22" customHeight="1">
      <c r="A134" s="4"/>
      <c r="B134" s="6"/>
      <c r="C134" s="4"/>
      <c r="D134" s="6"/>
      <c r="E134" s="4"/>
      <c r="F134" s="6"/>
      <c r="G134" s="6"/>
      <c r="H134" s="4"/>
      <c r="I134" s="11" t="str">
        <f>IF(A134="",IF(COUNTA(B134:H134)&gt;0,"MISSING ID",""),IF(COUNTIFS($A$6:$A$205,A134)&lt;&gt;1,"DUPLICATE ID",IF(AND(C134&lt;&gt;"INITIAL",C134&lt;&gt;"RECON",C134&lt;&gt;"HEARING"),"UNKNOWN STAGE",IF(OR(NOT(ISNUMBER(B134)),B134&gt;Assumptions!$B$5),"INVALID SNAPSHOT",IF(OR(NOT(ISNUMBER(D134)),D134&gt;Assumptions!$B$5),"MISSING / FUTURE START",IF(COUNTIFS(Benchmarks!$A$6:$A$164,E134)&lt;&gt;1,"UNKNOWN OFFICE",IF(AND(F134&lt;&gt;"",OR(NOT(ISNUMBER(F134)),C134&lt;&gt;"HEARING")),"INVALID SCHEDULE",IF(AND(G134&lt;&gt;"",OR(NOT(ISNUMBER(G134)),G134&lt;Assumptions!$B$5)),"INVALID REVIEW DATE",IF(AND(F134&lt;&gt;"",F134&lt;Assumptions!$B$5,G134=""),"STALE SCHEDULE","OK")))))))))</f>
        <v/>
      </c>
    </row>
    <row r="135" spans="1:9" ht="22" customHeight="1">
      <c r="A135" s="4"/>
      <c r="B135" s="6"/>
      <c r="C135" s="4"/>
      <c r="D135" s="6"/>
      <c r="E135" s="4"/>
      <c r="F135" s="6"/>
      <c r="G135" s="6"/>
      <c r="H135" s="4"/>
      <c r="I135" s="11" t="str">
        <f>IF(A135="",IF(COUNTA(B135:H135)&gt;0,"MISSING ID",""),IF(COUNTIFS($A$6:$A$205,A135)&lt;&gt;1,"DUPLICATE ID",IF(AND(C135&lt;&gt;"INITIAL",C135&lt;&gt;"RECON",C135&lt;&gt;"HEARING"),"UNKNOWN STAGE",IF(OR(NOT(ISNUMBER(B135)),B135&gt;Assumptions!$B$5),"INVALID SNAPSHOT",IF(OR(NOT(ISNUMBER(D135)),D135&gt;Assumptions!$B$5),"MISSING / FUTURE START",IF(COUNTIFS(Benchmarks!$A$6:$A$164,E135)&lt;&gt;1,"UNKNOWN OFFICE",IF(AND(F135&lt;&gt;"",OR(NOT(ISNUMBER(F135)),C135&lt;&gt;"HEARING")),"INVALID SCHEDULE",IF(AND(G135&lt;&gt;"",OR(NOT(ISNUMBER(G135)),G135&lt;Assumptions!$B$5)),"INVALID REVIEW DATE",IF(AND(F135&lt;&gt;"",F135&lt;Assumptions!$B$5,G135=""),"STALE SCHEDULE","OK")))))))))</f>
        <v/>
      </c>
    </row>
    <row r="136" spans="1:9" ht="22" customHeight="1">
      <c r="A136" s="4"/>
      <c r="B136" s="6"/>
      <c r="C136" s="4"/>
      <c r="D136" s="6"/>
      <c r="E136" s="4"/>
      <c r="F136" s="6"/>
      <c r="G136" s="6"/>
      <c r="H136" s="4"/>
      <c r="I136" s="11" t="str">
        <f>IF(A136="",IF(COUNTA(B136:H136)&gt;0,"MISSING ID",""),IF(COUNTIFS($A$6:$A$205,A136)&lt;&gt;1,"DUPLICATE ID",IF(AND(C136&lt;&gt;"INITIAL",C136&lt;&gt;"RECON",C136&lt;&gt;"HEARING"),"UNKNOWN STAGE",IF(OR(NOT(ISNUMBER(B136)),B136&gt;Assumptions!$B$5),"INVALID SNAPSHOT",IF(OR(NOT(ISNUMBER(D136)),D136&gt;Assumptions!$B$5),"MISSING / FUTURE START",IF(COUNTIFS(Benchmarks!$A$6:$A$164,E136)&lt;&gt;1,"UNKNOWN OFFICE",IF(AND(F136&lt;&gt;"",OR(NOT(ISNUMBER(F136)),C136&lt;&gt;"HEARING")),"INVALID SCHEDULE",IF(AND(G136&lt;&gt;"",OR(NOT(ISNUMBER(G136)),G136&lt;Assumptions!$B$5)),"INVALID REVIEW DATE",IF(AND(F136&lt;&gt;"",F136&lt;Assumptions!$B$5,G136=""),"STALE SCHEDULE","OK")))))))))</f>
        <v/>
      </c>
    </row>
    <row r="137" spans="1:9" ht="22" customHeight="1">
      <c r="A137" s="4"/>
      <c r="B137" s="6"/>
      <c r="C137" s="4"/>
      <c r="D137" s="6"/>
      <c r="E137" s="4"/>
      <c r="F137" s="6"/>
      <c r="G137" s="6"/>
      <c r="H137" s="4"/>
      <c r="I137" s="11" t="str">
        <f>IF(A137="",IF(COUNTA(B137:H137)&gt;0,"MISSING ID",""),IF(COUNTIFS($A$6:$A$205,A137)&lt;&gt;1,"DUPLICATE ID",IF(AND(C137&lt;&gt;"INITIAL",C137&lt;&gt;"RECON",C137&lt;&gt;"HEARING"),"UNKNOWN STAGE",IF(OR(NOT(ISNUMBER(B137)),B137&gt;Assumptions!$B$5),"INVALID SNAPSHOT",IF(OR(NOT(ISNUMBER(D137)),D137&gt;Assumptions!$B$5),"MISSING / FUTURE START",IF(COUNTIFS(Benchmarks!$A$6:$A$164,E137)&lt;&gt;1,"UNKNOWN OFFICE",IF(AND(F137&lt;&gt;"",OR(NOT(ISNUMBER(F137)),C137&lt;&gt;"HEARING")),"INVALID SCHEDULE",IF(AND(G137&lt;&gt;"",OR(NOT(ISNUMBER(G137)),G137&lt;Assumptions!$B$5)),"INVALID REVIEW DATE",IF(AND(F137&lt;&gt;"",F137&lt;Assumptions!$B$5,G137=""),"STALE SCHEDULE","OK")))))))))</f>
        <v/>
      </c>
    </row>
    <row r="138" spans="1:9" ht="22" customHeight="1">
      <c r="A138" s="4"/>
      <c r="B138" s="6"/>
      <c r="C138" s="4"/>
      <c r="D138" s="6"/>
      <c r="E138" s="4"/>
      <c r="F138" s="6"/>
      <c r="G138" s="6"/>
      <c r="H138" s="4"/>
      <c r="I138" s="11" t="str">
        <f>IF(A138="",IF(COUNTA(B138:H138)&gt;0,"MISSING ID",""),IF(COUNTIFS($A$6:$A$205,A138)&lt;&gt;1,"DUPLICATE ID",IF(AND(C138&lt;&gt;"INITIAL",C138&lt;&gt;"RECON",C138&lt;&gt;"HEARING"),"UNKNOWN STAGE",IF(OR(NOT(ISNUMBER(B138)),B138&gt;Assumptions!$B$5),"INVALID SNAPSHOT",IF(OR(NOT(ISNUMBER(D138)),D138&gt;Assumptions!$B$5),"MISSING / FUTURE START",IF(COUNTIFS(Benchmarks!$A$6:$A$164,E138)&lt;&gt;1,"UNKNOWN OFFICE",IF(AND(F138&lt;&gt;"",OR(NOT(ISNUMBER(F138)),C138&lt;&gt;"HEARING")),"INVALID SCHEDULE",IF(AND(G138&lt;&gt;"",OR(NOT(ISNUMBER(G138)),G138&lt;Assumptions!$B$5)),"INVALID REVIEW DATE",IF(AND(F138&lt;&gt;"",F138&lt;Assumptions!$B$5,G138=""),"STALE SCHEDULE","OK")))))))))</f>
        <v/>
      </c>
    </row>
    <row r="139" spans="1:9" ht="22" customHeight="1">
      <c r="A139" s="4"/>
      <c r="B139" s="6"/>
      <c r="C139" s="4"/>
      <c r="D139" s="6"/>
      <c r="E139" s="4"/>
      <c r="F139" s="6"/>
      <c r="G139" s="6"/>
      <c r="H139" s="4"/>
      <c r="I139" s="11" t="str">
        <f>IF(A139="",IF(COUNTA(B139:H139)&gt;0,"MISSING ID",""),IF(COUNTIFS($A$6:$A$205,A139)&lt;&gt;1,"DUPLICATE ID",IF(AND(C139&lt;&gt;"INITIAL",C139&lt;&gt;"RECON",C139&lt;&gt;"HEARING"),"UNKNOWN STAGE",IF(OR(NOT(ISNUMBER(B139)),B139&gt;Assumptions!$B$5),"INVALID SNAPSHOT",IF(OR(NOT(ISNUMBER(D139)),D139&gt;Assumptions!$B$5),"MISSING / FUTURE START",IF(COUNTIFS(Benchmarks!$A$6:$A$164,E139)&lt;&gt;1,"UNKNOWN OFFICE",IF(AND(F139&lt;&gt;"",OR(NOT(ISNUMBER(F139)),C139&lt;&gt;"HEARING")),"INVALID SCHEDULE",IF(AND(G139&lt;&gt;"",OR(NOT(ISNUMBER(G139)),G139&lt;Assumptions!$B$5)),"INVALID REVIEW DATE",IF(AND(F139&lt;&gt;"",F139&lt;Assumptions!$B$5,G139=""),"STALE SCHEDULE","OK")))))))))</f>
        <v/>
      </c>
    </row>
    <row r="140" spans="1:9" ht="22" customHeight="1">
      <c r="A140" s="4"/>
      <c r="B140" s="6"/>
      <c r="C140" s="4"/>
      <c r="D140" s="6"/>
      <c r="E140" s="4"/>
      <c r="F140" s="6"/>
      <c r="G140" s="6"/>
      <c r="H140" s="4"/>
      <c r="I140" s="11" t="str">
        <f>IF(A140="",IF(COUNTA(B140:H140)&gt;0,"MISSING ID",""),IF(COUNTIFS($A$6:$A$205,A140)&lt;&gt;1,"DUPLICATE ID",IF(AND(C140&lt;&gt;"INITIAL",C140&lt;&gt;"RECON",C140&lt;&gt;"HEARING"),"UNKNOWN STAGE",IF(OR(NOT(ISNUMBER(B140)),B140&gt;Assumptions!$B$5),"INVALID SNAPSHOT",IF(OR(NOT(ISNUMBER(D140)),D140&gt;Assumptions!$B$5),"MISSING / FUTURE START",IF(COUNTIFS(Benchmarks!$A$6:$A$164,E140)&lt;&gt;1,"UNKNOWN OFFICE",IF(AND(F140&lt;&gt;"",OR(NOT(ISNUMBER(F140)),C140&lt;&gt;"HEARING")),"INVALID SCHEDULE",IF(AND(G140&lt;&gt;"",OR(NOT(ISNUMBER(G140)),G140&lt;Assumptions!$B$5)),"INVALID REVIEW DATE",IF(AND(F140&lt;&gt;"",F140&lt;Assumptions!$B$5,G140=""),"STALE SCHEDULE","OK")))))))))</f>
        <v/>
      </c>
    </row>
    <row r="141" spans="1:9" ht="22" customHeight="1">
      <c r="A141" s="4"/>
      <c r="B141" s="6"/>
      <c r="C141" s="4"/>
      <c r="D141" s="6"/>
      <c r="E141" s="4"/>
      <c r="F141" s="6"/>
      <c r="G141" s="6"/>
      <c r="H141" s="4"/>
      <c r="I141" s="11" t="str">
        <f>IF(A141="",IF(COUNTA(B141:H141)&gt;0,"MISSING ID",""),IF(COUNTIFS($A$6:$A$205,A141)&lt;&gt;1,"DUPLICATE ID",IF(AND(C141&lt;&gt;"INITIAL",C141&lt;&gt;"RECON",C141&lt;&gt;"HEARING"),"UNKNOWN STAGE",IF(OR(NOT(ISNUMBER(B141)),B141&gt;Assumptions!$B$5),"INVALID SNAPSHOT",IF(OR(NOT(ISNUMBER(D141)),D141&gt;Assumptions!$B$5),"MISSING / FUTURE START",IF(COUNTIFS(Benchmarks!$A$6:$A$164,E141)&lt;&gt;1,"UNKNOWN OFFICE",IF(AND(F141&lt;&gt;"",OR(NOT(ISNUMBER(F141)),C141&lt;&gt;"HEARING")),"INVALID SCHEDULE",IF(AND(G141&lt;&gt;"",OR(NOT(ISNUMBER(G141)),G141&lt;Assumptions!$B$5)),"INVALID REVIEW DATE",IF(AND(F141&lt;&gt;"",F141&lt;Assumptions!$B$5,G141=""),"STALE SCHEDULE","OK")))))))))</f>
        <v/>
      </c>
    </row>
    <row r="142" spans="1:9" ht="22" customHeight="1">
      <c r="A142" s="4"/>
      <c r="B142" s="6"/>
      <c r="C142" s="4"/>
      <c r="D142" s="6"/>
      <c r="E142" s="4"/>
      <c r="F142" s="6"/>
      <c r="G142" s="6"/>
      <c r="H142" s="4"/>
      <c r="I142" s="11" t="str">
        <f>IF(A142="",IF(COUNTA(B142:H142)&gt;0,"MISSING ID",""),IF(COUNTIFS($A$6:$A$205,A142)&lt;&gt;1,"DUPLICATE ID",IF(AND(C142&lt;&gt;"INITIAL",C142&lt;&gt;"RECON",C142&lt;&gt;"HEARING"),"UNKNOWN STAGE",IF(OR(NOT(ISNUMBER(B142)),B142&gt;Assumptions!$B$5),"INVALID SNAPSHOT",IF(OR(NOT(ISNUMBER(D142)),D142&gt;Assumptions!$B$5),"MISSING / FUTURE START",IF(COUNTIFS(Benchmarks!$A$6:$A$164,E142)&lt;&gt;1,"UNKNOWN OFFICE",IF(AND(F142&lt;&gt;"",OR(NOT(ISNUMBER(F142)),C142&lt;&gt;"HEARING")),"INVALID SCHEDULE",IF(AND(G142&lt;&gt;"",OR(NOT(ISNUMBER(G142)),G142&lt;Assumptions!$B$5)),"INVALID REVIEW DATE",IF(AND(F142&lt;&gt;"",F142&lt;Assumptions!$B$5,G142=""),"STALE SCHEDULE","OK")))))))))</f>
        <v/>
      </c>
    </row>
    <row r="143" spans="1:9" ht="22" customHeight="1">
      <c r="A143" s="4"/>
      <c r="B143" s="6"/>
      <c r="C143" s="4"/>
      <c r="D143" s="6"/>
      <c r="E143" s="4"/>
      <c r="F143" s="6"/>
      <c r="G143" s="6"/>
      <c r="H143" s="4"/>
      <c r="I143" s="11" t="str">
        <f>IF(A143="",IF(COUNTA(B143:H143)&gt;0,"MISSING ID",""),IF(COUNTIFS($A$6:$A$205,A143)&lt;&gt;1,"DUPLICATE ID",IF(AND(C143&lt;&gt;"INITIAL",C143&lt;&gt;"RECON",C143&lt;&gt;"HEARING"),"UNKNOWN STAGE",IF(OR(NOT(ISNUMBER(B143)),B143&gt;Assumptions!$B$5),"INVALID SNAPSHOT",IF(OR(NOT(ISNUMBER(D143)),D143&gt;Assumptions!$B$5),"MISSING / FUTURE START",IF(COUNTIFS(Benchmarks!$A$6:$A$164,E143)&lt;&gt;1,"UNKNOWN OFFICE",IF(AND(F143&lt;&gt;"",OR(NOT(ISNUMBER(F143)),C143&lt;&gt;"HEARING")),"INVALID SCHEDULE",IF(AND(G143&lt;&gt;"",OR(NOT(ISNUMBER(G143)),G143&lt;Assumptions!$B$5)),"INVALID REVIEW DATE",IF(AND(F143&lt;&gt;"",F143&lt;Assumptions!$B$5,G143=""),"STALE SCHEDULE","OK")))))))))</f>
        <v/>
      </c>
    </row>
    <row r="144" spans="1:9" ht="22" customHeight="1">
      <c r="A144" s="4"/>
      <c r="B144" s="6"/>
      <c r="C144" s="4"/>
      <c r="D144" s="6"/>
      <c r="E144" s="4"/>
      <c r="F144" s="6"/>
      <c r="G144" s="6"/>
      <c r="H144" s="4"/>
      <c r="I144" s="11" t="str">
        <f>IF(A144="",IF(COUNTA(B144:H144)&gt;0,"MISSING ID",""),IF(COUNTIFS($A$6:$A$205,A144)&lt;&gt;1,"DUPLICATE ID",IF(AND(C144&lt;&gt;"INITIAL",C144&lt;&gt;"RECON",C144&lt;&gt;"HEARING"),"UNKNOWN STAGE",IF(OR(NOT(ISNUMBER(B144)),B144&gt;Assumptions!$B$5),"INVALID SNAPSHOT",IF(OR(NOT(ISNUMBER(D144)),D144&gt;Assumptions!$B$5),"MISSING / FUTURE START",IF(COUNTIFS(Benchmarks!$A$6:$A$164,E144)&lt;&gt;1,"UNKNOWN OFFICE",IF(AND(F144&lt;&gt;"",OR(NOT(ISNUMBER(F144)),C144&lt;&gt;"HEARING")),"INVALID SCHEDULE",IF(AND(G144&lt;&gt;"",OR(NOT(ISNUMBER(G144)),G144&lt;Assumptions!$B$5)),"INVALID REVIEW DATE",IF(AND(F144&lt;&gt;"",F144&lt;Assumptions!$B$5,G144=""),"STALE SCHEDULE","OK")))))))))</f>
        <v/>
      </c>
    </row>
    <row r="145" spans="1:9" ht="22" customHeight="1">
      <c r="A145" s="4"/>
      <c r="B145" s="6"/>
      <c r="C145" s="4"/>
      <c r="D145" s="6"/>
      <c r="E145" s="4"/>
      <c r="F145" s="6"/>
      <c r="G145" s="6"/>
      <c r="H145" s="4"/>
      <c r="I145" s="11" t="str">
        <f>IF(A145="",IF(COUNTA(B145:H145)&gt;0,"MISSING ID",""),IF(COUNTIFS($A$6:$A$205,A145)&lt;&gt;1,"DUPLICATE ID",IF(AND(C145&lt;&gt;"INITIAL",C145&lt;&gt;"RECON",C145&lt;&gt;"HEARING"),"UNKNOWN STAGE",IF(OR(NOT(ISNUMBER(B145)),B145&gt;Assumptions!$B$5),"INVALID SNAPSHOT",IF(OR(NOT(ISNUMBER(D145)),D145&gt;Assumptions!$B$5),"MISSING / FUTURE START",IF(COUNTIFS(Benchmarks!$A$6:$A$164,E145)&lt;&gt;1,"UNKNOWN OFFICE",IF(AND(F145&lt;&gt;"",OR(NOT(ISNUMBER(F145)),C145&lt;&gt;"HEARING")),"INVALID SCHEDULE",IF(AND(G145&lt;&gt;"",OR(NOT(ISNUMBER(G145)),G145&lt;Assumptions!$B$5)),"INVALID REVIEW DATE",IF(AND(F145&lt;&gt;"",F145&lt;Assumptions!$B$5,G145=""),"STALE SCHEDULE","OK")))))))))</f>
        <v/>
      </c>
    </row>
    <row r="146" spans="1:9" ht="22" customHeight="1">
      <c r="A146" s="4"/>
      <c r="B146" s="6"/>
      <c r="C146" s="4"/>
      <c r="D146" s="6"/>
      <c r="E146" s="4"/>
      <c r="F146" s="6"/>
      <c r="G146" s="6"/>
      <c r="H146" s="4"/>
      <c r="I146" s="11" t="str">
        <f>IF(A146="",IF(COUNTA(B146:H146)&gt;0,"MISSING ID",""),IF(COUNTIFS($A$6:$A$205,A146)&lt;&gt;1,"DUPLICATE ID",IF(AND(C146&lt;&gt;"INITIAL",C146&lt;&gt;"RECON",C146&lt;&gt;"HEARING"),"UNKNOWN STAGE",IF(OR(NOT(ISNUMBER(B146)),B146&gt;Assumptions!$B$5),"INVALID SNAPSHOT",IF(OR(NOT(ISNUMBER(D146)),D146&gt;Assumptions!$B$5),"MISSING / FUTURE START",IF(COUNTIFS(Benchmarks!$A$6:$A$164,E146)&lt;&gt;1,"UNKNOWN OFFICE",IF(AND(F146&lt;&gt;"",OR(NOT(ISNUMBER(F146)),C146&lt;&gt;"HEARING")),"INVALID SCHEDULE",IF(AND(G146&lt;&gt;"",OR(NOT(ISNUMBER(G146)),G146&lt;Assumptions!$B$5)),"INVALID REVIEW DATE",IF(AND(F146&lt;&gt;"",F146&lt;Assumptions!$B$5,G146=""),"STALE SCHEDULE","OK")))))))))</f>
        <v/>
      </c>
    </row>
    <row r="147" spans="1:9" ht="22" customHeight="1">
      <c r="A147" s="4"/>
      <c r="B147" s="6"/>
      <c r="C147" s="4"/>
      <c r="D147" s="6"/>
      <c r="E147" s="4"/>
      <c r="F147" s="6"/>
      <c r="G147" s="6"/>
      <c r="H147" s="4"/>
      <c r="I147" s="11" t="str">
        <f>IF(A147="",IF(COUNTA(B147:H147)&gt;0,"MISSING ID",""),IF(COUNTIFS($A$6:$A$205,A147)&lt;&gt;1,"DUPLICATE ID",IF(AND(C147&lt;&gt;"INITIAL",C147&lt;&gt;"RECON",C147&lt;&gt;"HEARING"),"UNKNOWN STAGE",IF(OR(NOT(ISNUMBER(B147)),B147&gt;Assumptions!$B$5),"INVALID SNAPSHOT",IF(OR(NOT(ISNUMBER(D147)),D147&gt;Assumptions!$B$5),"MISSING / FUTURE START",IF(COUNTIFS(Benchmarks!$A$6:$A$164,E147)&lt;&gt;1,"UNKNOWN OFFICE",IF(AND(F147&lt;&gt;"",OR(NOT(ISNUMBER(F147)),C147&lt;&gt;"HEARING")),"INVALID SCHEDULE",IF(AND(G147&lt;&gt;"",OR(NOT(ISNUMBER(G147)),G147&lt;Assumptions!$B$5)),"INVALID REVIEW DATE",IF(AND(F147&lt;&gt;"",F147&lt;Assumptions!$B$5,G147=""),"STALE SCHEDULE","OK")))))))))</f>
        <v/>
      </c>
    </row>
    <row r="148" spans="1:9" ht="22" customHeight="1">
      <c r="A148" s="4"/>
      <c r="B148" s="6"/>
      <c r="C148" s="4"/>
      <c r="D148" s="6"/>
      <c r="E148" s="4"/>
      <c r="F148" s="6"/>
      <c r="G148" s="6"/>
      <c r="H148" s="4"/>
      <c r="I148" s="11" t="str">
        <f>IF(A148="",IF(COUNTA(B148:H148)&gt;0,"MISSING ID",""),IF(COUNTIFS($A$6:$A$205,A148)&lt;&gt;1,"DUPLICATE ID",IF(AND(C148&lt;&gt;"INITIAL",C148&lt;&gt;"RECON",C148&lt;&gt;"HEARING"),"UNKNOWN STAGE",IF(OR(NOT(ISNUMBER(B148)),B148&gt;Assumptions!$B$5),"INVALID SNAPSHOT",IF(OR(NOT(ISNUMBER(D148)),D148&gt;Assumptions!$B$5),"MISSING / FUTURE START",IF(COUNTIFS(Benchmarks!$A$6:$A$164,E148)&lt;&gt;1,"UNKNOWN OFFICE",IF(AND(F148&lt;&gt;"",OR(NOT(ISNUMBER(F148)),C148&lt;&gt;"HEARING")),"INVALID SCHEDULE",IF(AND(G148&lt;&gt;"",OR(NOT(ISNUMBER(G148)),G148&lt;Assumptions!$B$5)),"INVALID REVIEW DATE",IF(AND(F148&lt;&gt;"",F148&lt;Assumptions!$B$5,G148=""),"STALE SCHEDULE","OK")))))))))</f>
        <v/>
      </c>
    </row>
    <row r="149" spans="1:9" ht="22" customHeight="1">
      <c r="A149" s="4"/>
      <c r="B149" s="6"/>
      <c r="C149" s="4"/>
      <c r="D149" s="6"/>
      <c r="E149" s="4"/>
      <c r="F149" s="6"/>
      <c r="G149" s="6"/>
      <c r="H149" s="4"/>
      <c r="I149" s="11" t="str">
        <f>IF(A149="",IF(COUNTA(B149:H149)&gt;0,"MISSING ID",""),IF(COUNTIFS($A$6:$A$205,A149)&lt;&gt;1,"DUPLICATE ID",IF(AND(C149&lt;&gt;"INITIAL",C149&lt;&gt;"RECON",C149&lt;&gt;"HEARING"),"UNKNOWN STAGE",IF(OR(NOT(ISNUMBER(B149)),B149&gt;Assumptions!$B$5),"INVALID SNAPSHOT",IF(OR(NOT(ISNUMBER(D149)),D149&gt;Assumptions!$B$5),"MISSING / FUTURE START",IF(COUNTIFS(Benchmarks!$A$6:$A$164,E149)&lt;&gt;1,"UNKNOWN OFFICE",IF(AND(F149&lt;&gt;"",OR(NOT(ISNUMBER(F149)),C149&lt;&gt;"HEARING")),"INVALID SCHEDULE",IF(AND(G149&lt;&gt;"",OR(NOT(ISNUMBER(G149)),G149&lt;Assumptions!$B$5)),"INVALID REVIEW DATE",IF(AND(F149&lt;&gt;"",F149&lt;Assumptions!$B$5,G149=""),"STALE SCHEDULE","OK")))))))))</f>
        <v/>
      </c>
    </row>
    <row r="150" spans="1:9" ht="22" customHeight="1">
      <c r="A150" s="4"/>
      <c r="B150" s="6"/>
      <c r="C150" s="4"/>
      <c r="D150" s="6"/>
      <c r="E150" s="4"/>
      <c r="F150" s="6"/>
      <c r="G150" s="6"/>
      <c r="H150" s="4"/>
      <c r="I150" s="11" t="str">
        <f>IF(A150="",IF(COUNTA(B150:H150)&gt;0,"MISSING ID",""),IF(COUNTIFS($A$6:$A$205,A150)&lt;&gt;1,"DUPLICATE ID",IF(AND(C150&lt;&gt;"INITIAL",C150&lt;&gt;"RECON",C150&lt;&gt;"HEARING"),"UNKNOWN STAGE",IF(OR(NOT(ISNUMBER(B150)),B150&gt;Assumptions!$B$5),"INVALID SNAPSHOT",IF(OR(NOT(ISNUMBER(D150)),D150&gt;Assumptions!$B$5),"MISSING / FUTURE START",IF(COUNTIFS(Benchmarks!$A$6:$A$164,E150)&lt;&gt;1,"UNKNOWN OFFICE",IF(AND(F150&lt;&gt;"",OR(NOT(ISNUMBER(F150)),C150&lt;&gt;"HEARING")),"INVALID SCHEDULE",IF(AND(G150&lt;&gt;"",OR(NOT(ISNUMBER(G150)),G150&lt;Assumptions!$B$5)),"INVALID REVIEW DATE",IF(AND(F150&lt;&gt;"",F150&lt;Assumptions!$B$5,G150=""),"STALE SCHEDULE","OK")))))))))</f>
        <v/>
      </c>
    </row>
    <row r="151" spans="1:9" ht="22" customHeight="1">
      <c r="A151" s="4"/>
      <c r="B151" s="6"/>
      <c r="C151" s="4"/>
      <c r="D151" s="6"/>
      <c r="E151" s="4"/>
      <c r="F151" s="6"/>
      <c r="G151" s="6"/>
      <c r="H151" s="4"/>
      <c r="I151" s="11" t="str">
        <f>IF(A151="",IF(COUNTA(B151:H151)&gt;0,"MISSING ID",""),IF(COUNTIFS($A$6:$A$205,A151)&lt;&gt;1,"DUPLICATE ID",IF(AND(C151&lt;&gt;"INITIAL",C151&lt;&gt;"RECON",C151&lt;&gt;"HEARING"),"UNKNOWN STAGE",IF(OR(NOT(ISNUMBER(B151)),B151&gt;Assumptions!$B$5),"INVALID SNAPSHOT",IF(OR(NOT(ISNUMBER(D151)),D151&gt;Assumptions!$B$5),"MISSING / FUTURE START",IF(COUNTIFS(Benchmarks!$A$6:$A$164,E151)&lt;&gt;1,"UNKNOWN OFFICE",IF(AND(F151&lt;&gt;"",OR(NOT(ISNUMBER(F151)),C151&lt;&gt;"HEARING")),"INVALID SCHEDULE",IF(AND(G151&lt;&gt;"",OR(NOT(ISNUMBER(G151)),G151&lt;Assumptions!$B$5)),"INVALID REVIEW DATE",IF(AND(F151&lt;&gt;"",F151&lt;Assumptions!$B$5,G151=""),"STALE SCHEDULE","OK")))))))))</f>
        <v/>
      </c>
    </row>
    <row r="152" spans="1:9" ht="22" customHeight="1">
      <c r="A152" s="4"/>
      <c r="B152" s="6"/>
      <c r="C152" s="4"/>
      <c r="D152" s="6"/>
      <c r="E152" s="4"/>
      <c r="F152" s="6"/>
      <c r="G152" s="6"/>
      <c r="H152" s="4"/>
      <c r="I152" s="11" t="str">
        <f>IF(A152="",IF(COUNTA(B152:H152)&gt;0,"MISSING ID",""),IF(COUNTIFS($A$6:$A$205,A152)&lt;&gt;1,"DUPLICATE ID",IF(AND(C152&lt;&gt;"INITIAL",C152&lt;&gt;"RECON",C152&lt;&gt;"HEARING"),"UNKNOWN STAGE",IF(OR(NOT(ISNUMBER(B152)),B152&gt;Assumptions!$B$5),"INVALID SNAPSHOT",IF(OR(NOT(ISNUMBER(D152)),D152&gt;Assumptions!$B$5),"MISSING / FUTURE START",IF(COUNTIFS(Benchmarks!$A$6:$A$164,E152)&lt;&gt;1,"UNKNOWN OFFICE",IF(AND(F152&lt;&gt;"",OR(NOT(ISNUMBER(F152)),C152&lt;&gt;"HEARING")),"INVALID SCHEDULE",IF(AND(G152&lt;&gt;"",OR(NOT(ISNUMBER(G152)),G152&lt;Assumptions!$B$5)),"INVALID REVIEW DATE",IF(AND(F152&lt;&gt;"",F152&lt;Assumptions!$B$5,G152=""),"STALE SCHEDULE","OK")))))))))</f>
        <v/>
      </c>
    </row>
    <row r="153" spans="1:9" ht="22" customHeight="1">
      <c r="A153" s="4"/>
      <c r="B153" s="6"/>
      <c r="C153" s="4"/>
      <c r="D153" s="6"/>
      <c r="E153" s="4"/>
      <c r="F153" s="6"/>
      <c r="G153" s="6"/>
      <c r="H153" s="4"/>
      <c r="I153" s="11" t="str">
        <f>IF(A153="",IF(COUNTA(B153:H153)&gt;0,"MISSING ID",""),IF(COUNTIFS($A$6:$A$205,A153)&lt;&gt;1,"DUPLICATE ID",IF(AND(C153&lt;&gt;"INITIAL",C153&lt;&gt;"RECON",C153&lt;&gt;"HEARING"),"UNKNOWN STAGE",IF(OR(NOT(ISNUMBER(B153)),B153&gt;Assumptions!$B$5),"INVALID SNAPSHOT",IF(OR(NOT(ISNUMBER(D153)),D153&gt;Assumptions!$B$5),"MISSING / FUTURE START",IF(COUNTIFS(Benchmarks!$A$6:$A$164,E153)&lt;&gt;1,"UNKNOWN OFFICE",IF(AND(F153&lt;&gt;"",OR(NOT(ISNUMBER(F153)),C153&lt;&gt;"HEARING")),"INVALID SCHEDULE",IF(AND(G153&lt;&gt;"",OR(NOT(ISNUMBER(G153)),G153&lt;Assumptions!$B$5)),"INVALID REVIEW DATE",IF(AND(F153&lt;&gt;"",F153&lt;Assumptions!$B$5,G153=""),"STALE SCHEDULE","OK")))))))))</f>
        <v/>
      </c>
    </row>
    <row r="154" spans="1:9" ht="22" customHeight="1">
      <c r="A154" s="4"/>
      <c r="B154" s="6"/>
      <c r="C154" s="4"/>
      <c r="D154" s="6"/>
      <c r="E154" s="4"/>
      <c r="F154" s="6"/>
      <c r="G154" s="6"/>
      <c r="H154" s="4"/>
      <c r="I154" s="11" t="str">
        <f>IF(A154="",IF(COUNTA(B154:H154)&gt;0,"MISSING ID",""),IF(COUNTIFS($A$6:$A$205,A154)&lt;&gt;1,"DUPLICATE ID",IF(AND(C154&lt;&gt;"INITIAL",C154&lt;&gt;"RECON",C154&lt;&gt;"HEARING"),"UNKNOWN STAGE",IF(OR(NOT(ISNUMBER(B154)),B154&gt;Assumptions!$B$5),"INVALID SNAPSHOT",IF(OR(NOT(ISNUMBER(D154)),D154&gt;Assumptions!$B$5),"MISSING / FUTURE START",IF(COUNTIFS(Benchmarks!$A$6:$A$164,E154)&lt;&gt;1,"UNKNOWN OFFICE",IF(AND(F154&lt;&gt;"",OR(NOT(ISNUMBER(F154)),C154&lt;&gt;"HEARING")),"INVALID SCHEDULE",IF(AND(G154&lt;&gt;"",OR(NOT(ISNUMBER(G154)),G154&lt;Assumptions!$B$5)),"INVALID REVIEW DATE",IF(AND(F154&lt;&gt;"",F154&lt;Assumptions!$B$5,G154=""),"STALE SCHEDULE","OK")))))))))</f>
        <v/>
      </c>
    </row>
    <row r="155" spans="1:9" ht="22" customHeight="1">
      <c r="A155" s="4"/>
      <c r="B155" s="6"/>
      <c r="C155" s="4"/>
      <c r="D155" s="6"/>
      <c r="E155" s="4"/>
      <c r="F155" s="6"/>
      <c r="G155" s="6"/>
      <c r="H155" s="4"/>
      <c r="I155" s="11" t="str">
        <f>IF(A155="",IF(COUNTA(B155:H155)&gt;0,"MISSING ID",""),IF(COUNTIFS($A$6:$A$205,A155)&lt;&gt;1,"DUPLICATE ID",IF(AND(C155&lt;&gt;"INITIAL",C155&lt;&gt;"RECON",C155&lt;&gt;"HEARING"),"UNKNOWN STAGE",IF(OR(NOT(ISNUMBER(B155)),B155&gt;Assumptions!$B$5),"INVALID SNAPSHOT",IF(OR(NOT(ISNUMBER(D155)),D155&gt;Assumptions!$B$5),"MISSING / FUTURE START",IF(COUNTIFS(Benchmarks!$A$6:$A$164,E155)&lt;&gt;1,"UNKNOWN OFFICE",IF(AND(F155&lt;&gt;"",OR(NOT(ISNUMBER(F155)),C155&lt;&gt;"HEARING")),"INVALID SCHEDULE",IF(AND(G155&lt;&gt;"",OR(NOT(ISNUMBER(G155)),G155&lt;Assumptions!$B$5)),"INVALID REVIEW DATE",IF(AND(F155&lt;&gt;"",F155&lt;Assumptions!$B$5,G155=""),"STALE SCHEDULE","OK")))))))))</f>
        <v/>
      </c>
    </row>
    <row r="156" spans="1:9" ht="22" customHeight="1">
      <c r="A156" s="4"/>
      <c r="B156" s="6"/>
      <c r="C156" s="4"/>
      <c r="D156" s="6"/>
      <c r="E156" s="4"/>
      <c r="F156" s="6"/>
      <c r="G156" s="6"/>
      <c r="H156" s="4"/>
      <c r="I156" s="11" t="str">
        <f>IF(A156="",IF(COUNTA(B156:H156)&gt;0,"MISSING ID",""),IF(COUNTIFS($A$6:$A$205,A156)&lt;&gt;1,"DUPLICATE ID",IF(AND(C156&lt;&gt;"INITIAL",C156&lt;&gt;"RECON",C156&lt;&gt;"HEARING"),"UNKNOWN STAGE",IF(OR(NOT(ISNUMBER(B156)),B156&gt;Assumptions!$B$5),"INVALID SNAPSHOT",IF(OR(NOT(ISNUMBER(D156)),D156&gt;Assumptions!$B$5),"MISSING / FUTURE START",IF(COUNTIFS(Benchmarks!$A$6:$A$164,E156)&lt;&gt;1,"UNKNOWN OFFICE",IF(AND(F156&lt;&gt;"",OR(NOT(ISNUMBER(F156)),C156&lt;&gt;"HEARING")),"INVALID SCHEDULE",IF(AND(G156&lt;&gt;"",OR(NOT(ISNUMBER(G156)),G156&lt;Assumptions!$B$5)),"INVALID REVIEW DATE",IF(AND(F156&lt;&gt;"",F156&lt;Assumptions!$B$5,G156=""),"STALE SCHEDULE","OK")))))))))</f>
        <v/>
      </c>
    </row>
    <row r="157" spans="1:9" ht="22" customHeight="1">
      <c r="A157" s="4"/>
      <c r="B157" s="6"/>
      <c r="C157" s="4"/>
      <c r="D157" s="6"/>
      <c r="E157" s="4"/>
      <c r="F157" s="6"/>
      <c r="G157" s="6"/>
      <c r="H157" s="4"/>
      <c r="I157" s="11" t="str">
        <f>IF(A157="",IF(COUNTA(B157:H157)&gt;0,"MISSING ID",""),IF(COUNTIFS($A$6:$A$205,A157)&lt;&gt;1,"DUPLICATE ID",IF(AND(C157&lt;&gt;"INITIAL",C157&lt;&gt;"RECON",C157&lt;&gt;"HEARING"),"UNKNOWN STAGE",IF(OR(NOT(ISNUMBER(B157)),B157&gt;Assumptions!$B$5),"INVALID SNAPSHOT",IF(OR(NOT(ISNUMBER(D157)),D157&gt;Assumptions!$B$5),"MISSING / FUTURE START",IF(COUNTIFS(Benchmarks!$A$6:$A$164,E157)&lt;&gt;1,"UNKNOWN OFFICE",IF(AND(F157&lt;&gt;"",OR(NOT(ISNUMBER(F157)),C157&lt;&gt;"HEARING")),"INVALID SCHEDULE",IF(AND(G157&lt;&gt;"",OR(NOT(ISNUMBER(G157)),G157&lt;Assumptions!$B$5)),"INVALID REVIEW DATE",IF(AND(F157&lt;&gt;"",F157&lt;Assumptions!$B$5,G157=""),"STALE SCHEDULE","OK")))))))))</f>
        <v/>
      </c>
    </row>
    <row r="158" spans="1:9" ht="22" customHeight="1">
      <c r="A158" s="4"/>
      <c r="B158" s="6"/>
      <c r="C158" s="4"/>
      <c r="D158" s="6"/>
      <c r="E158" s="4"/>
      <c r="F158" s="6"/>
      <c r="G158" s="6"/>
      <c r="H158" s="4"/>
      <c r="I158" s="11" t="str">
        <f>IF(A158="",IF(COUNTA(B158:H158)&gt;0,"MISSING ID",""),IF(COUNTIFS($A$6:$A$205,A158)&lt;&gt;1,"DUPLICATE ID",IF(AND(C158&lt;&gt;"INITIAL",C158&lt;&gt;"RECON",C158&lt;&gt;"HEARING"),"UNKNOWN STAGE",IF(OR(NOT(ISNUMBER(B158)),B158&gt;Assumptions!$B$5),"INVALID SNAPSHOT",IF(OR(NOT(ISNUMBER(D158)),D158&gt;Assumptions!$B$5),"MISSING / FUTURE START",IF(COUNTIFS(Benchmarks!$A$6:$A$164,E158)&lt;&gt;1,"UNKNOWN OFFICE",IF(AND(F158&lt;&gt;"",OR(NOT(ISNUMBER(F158)),C158&lt;&gt;"HEARING")),"INVALID SCHEDULE",IF(AND(G158&lt;&gt;"",OR(NOT(ISNUMBER(G158)),G158&lt;Assumptions!$B$5)),"INVALID REVIEW DATE",IF(AND(F158&lt;&gt;"",F158&lt;Assumptions!$B$5,G158=""),"STALE SCHEDULE","OK")))))))))</f>
        <v/>
      </c>
    </row>
    <row r="159" spans="1:9" ht="22" customHeight="1">
      <c r="A159" s="4"/>
      <c r="B159" s="6"/>
      <c r="C159" s="4"/>
      <c r="D159" s="6"/>
      <c r="E159" s="4"/>
      <c r="F159" s="6"/>
      <c r="G159" s="6"/>
      <c r="H159" s="4"/>
      <c r="I159" s="11" t="str">
        <f>IF(A159="",IF(COUNTA(B159:H159)&gt;0,"MISSING ID",""),IF(COUNTIFS($A$6:$A$205,A159)&lt;&gt;1,"DUPLICATE ID",IF(AND(C159&lt;&gt;"INITIAL",C159&lt;&gt;"RECON",C159&lt;&gt;"HEARING"),"UNKNOWN STAGE",IF(OR(NOT(ISNUMBER(B159)),B159&gt;Assumptions!$B$5),"INVALID SNAPSHOT",IF(OR(NOT(ISNUMBER(D159)),D159&gt;Assumptions!$B$5),"MISSING / FUTURE START",IF(COUNTIFS(Benchmarks!$A$6:$A$164,E159)&lt;&gt;1,"UNKNOWN OFFICE",IF(AND(F159&lt;&gt;"",OR(NOT(ISNUMBER(F159)),C159&lt;&gt;"HEARING")),"INVALID SCHEDULE",IF(AND(G159&lt;&gt;"",OR(NOT(ISNUMBER(G159)),G159&lt;Assumptions!$B$5)),"INVALID REVIEW DATE",IF(AND(F159&lt;&gt;"",F159&lt;Assumptions!$B$5,G159=""),"STALE SCHEDULE","OK")))))))))</f>
        <v/>
      </c>
    </row>
    <row r="160" spans="1:9" ht="22" customHeight="1">
      <c r="A160" s="4"/>
      <c r="B160" s="6"/>
      <c r="C160" s="4"/>
      <c r="D160" s="6"/>
      <c r="E160" s="4"/>
      <c r="F160" s="6"/>
      <c r="G160" s="6"/>
      <c r="H160" s="4"/>
      <c r="I160" s="11" t="str">
        <f>IF(A160="",IF(COUNTA(B160:H160)&gt;0,"MISSING ID",""),IF(COUNTIFS($A$6:$A$205,A160)&lt;&gt;1,"DUPLICATE ID",IF(AND(C160&lt;&gt;"INITIAL",C160&lt;&gt;"RECON",C160&lt;&gt;"HEARING"),"UNKNOWN STAGE",IF(OR(NOT(ISNUMBER(B160)),B160&gt;Assumptions!$B$5),"INVALID SNAPSHOT",IF(OR(NOT(ISNUMBER(D160)),D160&gt;Assumptions!$B$5),"MISSING / FUTURE START",IF(COUNTIFS(Benchmarks!$A$6:$A$164,E160)&lt;&gt;1,"UNKNOWN OFFICE",IF(AND(F160&lt;&gt;"",OR(NOT(ISNUMBER(F160)),C160&lt;&gt;"HEARING")),"INVALID SCHEDULE",IF(AND(G160&lt;&gt;"",OR(NOT(ISNUMBER(G160)),G160&lt;Assumptions!$B$5)),"INVALID REVIEW DATE",IF(AND(F160&lt;&gt;"",F160&lt;Assumptions!$B$5,G160=""),"STALE SCHEDULE","OK")))))))))</f>
        <v/>
      </c>
    </row>
    <row r="161" spans="1:9" ht="22" customHeight="1">
      <c r="A161" s="4"/>
      <c r="B161" s="6"/>
      <c r="C161" s="4"/>
      <c r="D161" s="6"/>
      <c r="E161" s="4"/>
      <c r="F161" s="6"/>
      <c r="G161" s="6"/>
      <c r="H161" s="4"/>
      <c r="I161" s="11" t="str">
        <f>IF(A161="",IF(COUNTA(B161:H161)&gt;0,"MISSING ID",""),IF(COUNTIFS($A$6:$A$205,A161)&lt;&gt;1,"DUPLICATE ID",IF(AND(C161&lt;&gt;"INITIAL",C161&lt;&gt;"RECON",C161&lt;&gt;"HEARING"),"UNKNOWN STAGE",IF(OR(NOT(ISNUMBER(B161)),B161&gt;Assumptions!$B$5),"INVALID SNAPSHOT",IF(OR(NOT(ISNUMBER(D161)),D161&gt;Assumptions!$B$5),"MISSING / FUTURE START",IF(COUNTIFS(Benchmarks!$A$6:$A$164,E161)&lt;&gt;1,"UNKNOWN OFFICE",IF(AND(F161&lt;&gt;"",OR(NOT(ISNUMBER(F161)),C161&lt;&gt;"HEARING")),"INVALID SCHEDULE",IF(AND(G161&lt;&gt;"",OR(NOT(ISNUMBER(G161)),G161&lt;Assumptions!$B$5)),"INVALID REVIEW DATE",IF(AND(F161&lt;&gt;"",F161&lt;Assumptions!$B$5,G161=""),"STALE SCHEDULE","OK")))))))))</f>
        <v/>
      </c>
    </row>
    <row r="162" spans="1:9" ht="22" customHeight="1">
      <c r="A162" s="4"/>
      <c r="B162" s="6"/>
      <c r="C162" s="4"/>
      <c r="D162" s="6"/>
      <c r="E162" s="4"/>
      <c r="F162" s="6"/>
      <c r="G162" s="6"/>
      <c r="H162" s="4"/>
      <c r="I162" s="11" t="str">
        <f>IF(A162="",IF(COUNTA(B162:H162)&gt;0,"MISSING ID",""),IF(COUNTIFS($A$6:$A$205,A162)&lt;&gt;1,"DUPLICATE ID",IF(AND(C162&lt;&gt;"INITIAL",C162&lt;&gt;"RECON",C162&lt;&gt;"HEARING"),"UNKNOWN STAGE",IF(OR(NOT(ISNUMBER(B162)),B162&gt;Assumptions!$B$5),"INVALID SNAPSHOT",IF(OR(NOT(ISNUMBER(D162)),D162&gt;Assumptions!$B$5),"MISSING / FUTURE START",IF(COUNTIFS(Benchmarks!$A$6:$A$164,E162)&lt;&gt;1,"UNKNOWN OFFICE",IF(AND(F162&lt;&gt;"",OR(NOT(ISNUMBER(F162)),C162&lt;&gt;"HEARING")),"INVALID SCHEDULE",IF(AND(G162&lt;&gt;"",OR(NOT(ISNUMBER(G162)),G162&lt;Assumptions!$B$5)),"INVALID REVIEW DATE",IF(AND(F162&lt;&gt;"",F162&lt;Assumptions!$B$5,G162=""),"STALE SCHEDULE","OK")))))))))</f>
        <v/>
      </c>
    </row>
    <row r="163" spans="1:9" ht="22" customHeight="1">
      <c r="A163" s="4"/>
      <c r="B163" s="6"/>
      <c r="C163" s="4"/>
      <c r="D163" s="6"/>
      <c r="E163" s="4"/>
      <c r="F163" s="6"/>
      <c r="G163" s="6"/>
      <c r="H163" s="4"/>
      <c r="I163" s="11" t="str">
        <f>IF(A163="",IF(COUNTA(B163:H163)&gt;0,"MISSING ID",""),IF(COUNTIFS($A$6:$A$205,A163)&lt;&gt;1,"DUPLICATE ID",IF(AND(C163&lt;&gt;"INITIAL",C163&lt;&gt;"RECON",C163&lt;&gt;"HEARING"),"UNKNOWN STAGE",IF(OR(NOT(ISNUMBER(B163)),B163&gt;Assumptions!$B$5),"INVALID SNAPSHOT",IF(OR(NOT(ISNUMBER(D163)),D163&gt;Assumptions!$B$5),"MISSING / FUTURE START",IF(COUNTIFS(Benchmarks!$A$6:$A$164,E163)&lt;&gt;1,"UNKNOWN OFFICE",IF(AND(F163&lt;&gt;"",OR(NOT(ISNUMBER(F163)),C163&lt;&gt;"HEARING")),"INVALID SCHEDULE",IF(AND(G163&lt;&gt;"",OR(NOT(ISNUMBER(G163)),G163&lt;Assumptions!$B$5)),"INVALID REVIEW DATE",IF(AND(F163&lt;&gt;"",F163&lt;Assumptions!$B$5,G163=""),"STALE SCHEDULE","OK")))))))))</f>
        <v/>
      </c>
    </row>
    <row r="164" spans="1:9" ht="22" customHeight="1">
      <c r="A164" s="4"/>
      <c r="B164" s="6"/>
      <c r="C164" s="4"/>
      <c r="D164" s="6"/>
      <c r="E164" s="4"/>
      <c r="F164" s="6"/>
      <c r="G164" s="6"/>
      <c r="H164" s="4"/>
      <c r="I164" s="11" t="str">
        <f>IF(A164="",IF(COUNTA(B164:H164)&gt;0,"MISSING ID",""),IF(COUNTIFS($A$6:$A$205,A164)&lt;&gt;1,"DUPLICATE ID",IF(AND(C164&lt;&gt;"INITIAL",C164&lt;&gt;"RECON",C164&lt;&gt;"HEARING"),"UNKNOWN STAGE",IF(OR(NOT(ISNUMBER(B164)),B164&gt;Assumptions!$B$5),"INVALID SNAPSHOT",IF(OR(NOT(ISNUMBER(D164)),D164&gt;Assumptions!$B$5),"MISSING / FUTURE START",IF(COUNTIFS(Benchmarks!$A$6:$A$164,E164)&lt;&gt;1,"UNKNOWN OFFICE",IF(AND(F164&lt;&gt;"",OR(NOT(ISNUMBER(F164)),C164&lt;&gt;"HEARING")),"INVALID SCHEDULE",IF(AND(G164&lt;&gt;"",OR(NOT(ISNUMBER(G164)),G164&lt;Assumptions!$B$5)),"INVALID REVIEW DATE",IF(AND(F164&lt;&gt;"",F164&lt;Assumptions!$B$5,G164=""),"STALE SCHEDULE","OK")))))))))</f>
        <v/>
      </c>
    </row>
    <row r="165" spans="1:9" ht="22" customHeight="1">
      <c r="A165" s="4"/>
      <c r="B165" s="6"/>
      <c r="C165" s="4"/>
      <c r="D165" s="6"/>
      <c r="E165" s="4"/>
      <c r="F165" s="6"/>
      <c r="G165" s="6"/>
      <c r="H165" s="4"/>
      <c r="I165" s="11" t="str">
        <f>IF(A165="",IF(COUNTA(B165:H165)&gt;0,"MISSING ID",""),IF(COUNTIFS($A$6:$A$205,A165)&lt;&gt;1,"DUPLICATE ID",IF(AND(C165&lt;&gt;"INITIAL",C165&lt;&gt;"RECON",C165&lt;&gt;"HEARING"),"UNKNOWN STAGE",IF(OR(NOT(ISNUMBER(B165)),B165&gt;Assumptions!$B$5),"INVALID SNAPSHOT",IF(OR(NOT(ISNUMBER(D165)),D165&gt;Assumptions!$B$5),"MISSING / FUTURE START",IF(COUNTIFS(Benchmarks!$A$6:$A$164,E165)&lt;&gt;1,"UNKNOWN OFFICE",IF(AND(F165&lt;&gt;"",OR(NOT(ISNUMBER(F165)),C165&lt;&gt;"HEARING")),"INVALID SCHEDULE",IF(AND(G165&lt;&gt;"",OR(NOT(ISNUMBER(G165)),G165&lt;Assumptions!$B$5)),"INVALID REVIEW DATE",IF(AND(F165&lt;&gt;"",F165&lt;Assumptions!$B$5,G165=""),"STALE SCHEDULE","OK")))))))))</f>
        <v/>
      </c>
    </row>
    <row r="166" spans="1:9" ht="22" customHeight="1">
      <c r="A166" s="4"/>
      <c r="B166" s="6"/>
      <c r="C166" s="4"/>
      <c r="D166" s="6"/>
      <c r="E166" s="4"/>
      <c r="F166" s="6"/>
      <c r="G166" s="6"/>
      <c r="H166" s="4"/>
      <c r="I166" s="11" t="str">
        <f>IF(A166="",IF(COUNTA(B166:H166)&gt;0,"MISSING ID",""),IF(COUNTIFS($A$6:$A$205,A166)&lt;&gt;1,"DUPLICATE ID",IF(AND(C166&lt;&gt;"INITIAL",C166&lt;&gt;"RECON",C166&lt;&gt;"HEARING"),"UNKNOWN STAGE",IF(OR(NOT(ISNUMBER(B166)),B166&gt;Assumptions!$B$5),"INVALID SNAPSHOT",IF(OR(NOT(ISNUMBER(D166)),D166&gt;Assumptions!$B$5),"MISSING / FUTURE START",IF(COUNTIFS(Benchmarks!$A$6:$A$164,E166)&lt;&gt;1,"UNKNOWN OFFICE",IF(AND(F166&lt;&gt;"",OR(NOT(ISNUMBER(F166)),C166&lt;&gt;"HEARING")),"INVALID SCHEDULE",IF(AND(G166&lt;&gt;"",OR(NOT(ISNUMBER(G166)),G166&lt;Assumptions!$B$5)),"INVALID REVIEW DATE",IF(AND(F166&lt;&gt;"",F166&lt;Assumptions!$B$5,G166=""),"STALE SCHEDULE","OK")))))))))</f>
        <v/>
      </c>
    </row>
    <row r="167" spans="1:9" ht="22" customHeight="1">
      <c r="A167" s="4"/>
      <c r="B167" s="6"/>
      <c r="C167" s="4"/>
      <c r="D167" s="6"/>
      <c r="E167" s="4"/>
      <c r="F167" s="6"/>
      <c r="G167" s="6"/>
      <c r="H167" s="4"/>
      <c r="I167" s="11" t="str">
        <f>IF(A167="",IF(COUNTA(B167:H167)&gt;0,"MISSING ID",""),IF(COUNTIFS($A$6:$A$205,A167)&lt;&gt;1,"DUPLICATE ID",IF(AND(C167&lt;&gt;"INITIAL",C167&lt;&gt;"RECON",C167&lt;&gt;"HEARING"),"UNKNOWN STAGE",IF(OR(NOT(ISNUMBER(B167)),B167&gt;Assumptions!$B$5),"INVALID SNAPSHOT",IF(OR(NOT(ISNUMBER(D167)),D167&gt;Assumptions!$B$5),"MISSING / FUTURE START",IF(COUNTIFS(Benchmarks!$A$6:$A$164,E167)&lt;&gt;1,"UNKNOWN OFFICE",IF(AND(F167&lt;&gt;"",OR(NOT(ISNUMBER(F167)),C167&lt;&gt;"HEARING")),"INVALID SCHEDULE",IF(AND(G167&lt;&gt;"",OR(NOT(ISNUMBER(G167)),G167&lt;Assumptions!$B$5)),"INVALID REVIEW DATE",IF(AND(F167&lt;&gt;"",F167&lt;Assumptions!$B$5,G167=""),"STALE SCHEDULE","OK")))))))))</f>
        <v/>
      </c>
    </row>
    <row r="168" spans="1:9" ht="22" customHeight="1">
      <c r="A168" s="4"/>
      <c r="B168" s="6"/>
      <c r="C168" s="4"/>
      <c r="D168" s="6"/>
      <c r="E168" s="4"/>
      <c r="F168" s="6"/>
      <c r="G168" s="6"/>
      <c r="H168" s="4"/>
      <c r="I168" s="11" t="str">
        <f>IF(A168="",IF(COUNTA(B168:H168)&gt;0,"MISSING ID",""),IF(COUNTIFS($A$6:$A$205,A168)&lt;&gt;1,"DUPLICATE ID",IF(AND(C168&lt;&gt;"INITIAL",C168&lt;&gt;"RECON",C168&lt;&gt;"HEARING"),"UNKNOWN STAGE",IF(OR(NOT(ISNUMBER(B168)),B168&gt;Assumptions!$B$5),"INVALID SNAPSHOT",IF(OR(NOT(ISNUMBER(D168)),D168&gt;Assumptions!$B$5),"MISSING / FUTURE START",IF(COUNTIFS(Benchmarks!$A$6:$A$164,E168)&lt;&gt;1,"UNKNOWN OFFICE",IF(AND(F168&lt;&gt;"",OR(NOT(ISNUMBER(F168)),C168&lt;&gt;"HEARING")),"INVALID SCHEDULE",IF(AND(G168&lt;&gt;"",OR(NOT(ISNUMBER(G168)),G168&lt;Assumptions!$B$5)),"INVALID REVIEW DATE",IF(AND(F168&lt;&gt;"",F168&lt;Assumptions!$B$5,G168=""),"STALE SCHEDULE","OK")))))))))</f>
        <v/>
      </c>
    </row>
    <row r="169" spans="1:9" ht="22" customHeight="1">
      <c r="A169" s="4"/>
      <c r="B169" s="6"/>
      <c r="C169" s="4"/>
      <c r="D169" s="6"/>
      <c r="E169" s="4"/>
      <c r="F169" s="6"/>
      <c r="G169" s="6"/>
      <c r="H169" s="4"/>
      <c r="I169" s="11" t="str">
        <f>IF(A169="",IF(COUNTA(B169:H169)&gt;0,"MISSING ID",""),IF(COUNTIFS($A$6:$A$205,A169)&lt;&gt;1,"DUPLICATE ID",IF(AND(C169&lt;&gt;"INITIAL",C169&lt;&gt;"RECON",C169&lt;&gt;"HEARING"),"UNKNOWN STAGE",IF(OR(NOT(ISNUMBER(B169)),B169&gt;Assumptions!$B$5),"INVALID SNAPSHOT",IF(OR(NOT(ISNUMBER(D169)),D169&gt;Assumptions!$B$5),"MISSING / FUTURE START",IF(COUNTIFS(Benchmarks!$A$6:$A$164,E169)&lt;&gt;1,"UNKNOWN OFFICE",IF(AND(F169&lt;&gt;"",OR(NOT(ISNUMBER(F169)),C169&lt;&gt;"HEARING")),"INVALID SCHEDULE",IF(AND(G169&lt;&gt;"",OR(NOT(ISNUMBER(G169)),G169&lt;Assumptions!$B$5)),"INVALID REVIEW DATE",IF(AND(F169&lt;&gt;"",F169&lt;Assumptions!$B$5,G169=""),"STALE SCHEDULE","OK")))))))))</f>
        <v/>
      </c>
    </row>
    <row r="170" spans="1:9" ht="22" customHeight="1">
      <c r="A170" s="4"/>
      <c r="B170" s="6"/>
      <c r="C170" s="4"/>
      <c r="D170" s="6"/>
      <c r="E170" s="4"/>
      <c r="F170" s="6"/>
      <c r="G170" s="6"/>
      <c r="H170" s="4"/>
      <c r="I170" s="11" t="str">
        <f>IF(A170="",IF(COUNTA(B170:H170)&gt;0,"MISSING ID",""),IF(COUNTIFS($A$6:$A$205,A170)&lt;&gt;1,"DUPLICATE ID",IF(AND(C170&lt;&gt;"INITIAL",C170&lt;&gt;"RECON",C170&lt;&gt;"HEARING"),"UNKNOWN STAGE",IF(OR(NOT(ISNUMBER(B170)),B170&gt;Assumptions!$B$5),"INVALID SNAPSHOT",IF(OR(NOT(ISNUMBER(D170)),D170&gt;Assumptions!$B$5),"MISSING / FUTURE START",IF(COUNTIFS(Benchmarks!$A$6:$A$164,E170)&lt;&gt;1,"UNKNOWN OFFICE",IF(AND(F170&lt;&gt;"",OR(NOT(ISNUMBER(F170)),C170&lt;&gt;"HEARING")),"INVALID SCHEDULE",IF(AND(G170&lt;&gt;"",OR(NOT(ISNUMBER(G170)),G170&lt;Assumptions!$B$5)),"INVALID REVIEW DATE",IF(AND(F170&lt;&gt;"",F170&lt;Assumptions!$B$5,G170=""),"STALE SCHEDULE","OK")))))))))</f>
        <v/>
      </c>
    </row>
    <row r="171" spans="1:9" ht="22" customHeight="1">
      <c r="A171" s="4"/>
      <c r="B171" s="6"/>
      <c r="C171" s="4"/>
      <c r="D171" s="6"/>
      <c r="E171" s="4"/>
      <c r="F171" s="6"/>
      <c r="G171" s="6"/>
      <c r="H171" s="4"/>
      <c r="I171" s="11" t="str">
        <f>IF(A171="",IF(COUNTA(B171:H171)&gt;0,"MISSING ID",""),IF(COUNTIFS($A$6:$A$205,A171)&lt;&gt;1,"DUPLICATE ID",IF(AND(C171&lt;&gt;"INITIAL",C171&lt;&gt;"RECON",C171&lt;&gt;"HEARING"),"UNKNOWN STAGE",IF(OR(NOT(ISNUMBER(B171)),B171&gt;Assumptions!$B$5),"INVALID SNAPSHOT",IF(OR(NOT(ISNUMBER(D171)),D171&gt;Assumptions!$B$5),"MISSING / FUTURE START",IF(COUNTIFS(Benchmarks!$A$6:$A$164,E171)&lt;&gt;1,"UNKNOWN OFFICE",IF(AND(F171&lt;&gt;"",OR(NOT(ISNUMBER(F171)),C171&lt;&gt;"HEARING")),"INVALID SCHEDULE",IF(AND(G171&lt;&gt;"",OR(NOT(ISNUMBER(G171)),G171&lt;Assumptions!$B$5)),"INVALID REVIEW DATE",IF(AND(F171&lt;&gt;"",F171&lt;Assumptions!$B$5,G171=""),"STALE SCHEDULE","OK")))))))))</f>
        <v/>
      </c>
    </row>
    <row r="172" spans="1:9" ht="22" customHeight="1">
      <c r="A172" s="4"/>
      <c r="B172" s="6"/>
      <c r="C172" s="4"/>
      <c r="D172" s="6"/>
      <c r="E172" s="4"/>
      <c r="F172" s="6"/>
      <c r="G172" s="6"/>
      <c r="H172" s="4"/>
      <c r="I172" s="11" t="str">
        <f>IF(A172="",IF(COUNTA(B172:H172)&gt;0,"MISSING ID",""),IF(COUNTIFS($A$6:$A$205,A172)&lt;&gt;1,"DUPLICATE ID",IF(AND(C172&lt;&gt;"INITIAL",C172&lt;&gt;"RECON",C172&lt;&gt;"HEARING"),"UNKNOWN STAGE",IF(OR(NOT(ISNUMBER(B172)),B172&gt;Assumptions!$B$5),"INVALID SNAPSHOT",IF(OR(NOT(ISNUMBER(D172)),D172&gt;Assumptions!$B$5),"MISSING / FUTURE START",IF(COUNTIFS(Benchmarks!$A$6:$A$164,E172)&lt;&gt;1,"UNKNOWN OFFICE",IF(AND(F172&lt;&gt;"",OR(NOT(ISNUMBER(F172)),C172&lt;&gt;"HEARING")),"INVALID SCHEDULE",IF(AND(G172&lt;&gt;"",OR(NOT(ISNUMBER(G172)),G172&lt;Assumptions!$B$5)),"INVALID REVIEW DATE",IF(AND(F172&lt;&gt;"",F172&lt;Assumptions!$B$5,G172=""),"STALE SCHEDULE","OK")))))))))</f>
        <v/>
      </c>
    </row>
    <row r="173" spans="1:9" ht="22" customHeight="1">
      <c r="A173" s="4"/>
      <c r="B173" s="6"/>
      <c r="C173" s="4"/>
      <c r="D173" s="6"/>
      <c r="E173" s="4"/>
      <c r="F173" s="6"/>
      <c r="G173" s="6"/>
      <c r="H173" s="4"/>
      <c r="I173" s="11" t="str">
        <f>IF(A173="",IF(COUNTA(B173:H173)&gt;0,"MISSING ID",""),IF(COUNTIFS($A$6:$A$205,A173)&lt;&gt;1,"DUPLICATE ID",IF(AND(C173&lt;&gt;"INITIAL",C173&lt;&gt;"RECON",C173&lt;&gt;"HEARING"),"UNKNOWN STAGE",IF(OR(NOT(ISNUMBER(B173)),B173&gt;Assumptions!$B$5),"INVALID SNAPSHOT",IF(OR(NOT(ISNUMBER(D173)),D173&gt;Assumptions!$B$5),"MISSING / FUTURE START",IF(COUNTIFS(Benchmarks!$A$6:$A$164,E173)&lt;&gt;1,"UNKNOWN OFFICE",IF(AND(F173&lt;&gt;"",OR(NOT(ISNUMBER(F173)),C173&lt;&gt;"HEARING")),"INVALID SCHEDULE",IF(AND(G173&lt;&gt;"",OR(NOT(ISNUMBER(G173)),G173&lt;Assumptions!$B$5)),"INVALID REVIEW DATE",IF(AND(F173&lt;&gt;"",F173&lt;Assumptions!$B$5,G173=""),"STALE SCHEDULE","OK")))))))))</f>
        <v/>
      </c>
    </row>
    <row r="174" spans="1:9" ht="22" customHeight="1">
      <c r="A174" s="4"/>
      <c r="B174" s="6"/>
      <c r="C174" s="4"/>
      <c r="D174" s="6"/>
      <c r="E174" s="4"/>
      <c r="F174" s="6"/>
      <c r="G174" s="6"/>
      <c r="H174" s="4"/>
      <c r="I174" s="11" t="str">
        <f>IF(A174="",IF(COUNTA(B174:H174)&gt;0,"MISSING ID",""),IF(COUNTIFS($A$6:$A$205,A174)&lt;&gt;1,"DUPLICATE ID",IF(AND(C174&lt;&gt;"INITIAL",C174&lt;&gt;"RECON",C174&lt;&gt;"HEARING"),"UNKNOWN STAGE",IF(OR(NOT(ISNUMBER(B174)),B174&gt;Assumptions!$B$5),"INVALID SNAPSHOT",IF(OR(NOT(ISNUMBER(D174)),D174&gt;Assumptions!$B$5),"MISSING / FUTURE START",IF(COUNTIFS(Benchmarks!$A$6:$A$164,E174)&lt;&gt;1,"UNKNOWN OFFICE",IF(AND(F174&lt;&gt;"",OR(NOT(ISNUMBER(F174)),C174&lt;&gt;"HEARING")),"INVALID SCHEDULE",IF(AND(G174&lt;&gt;"",OR(NOT(ISNUMBER(G174)),G174&lt;Assumptions!$B$5)),"INVALID REVIEW DATE",IF(AND(F174&lt;&gt;"",F174&lt;Assumptions!$B$5,G174=""),"STALE SCHEDULE","OK")))))))))</f>
        <v/>
      </c>
    </row>
    <row r="175" spans="1:9" ht="22" customHeight="1">
      <c r="A175" s="4"/>
      <c r="B175" s="6"/>
      <c r="C175" s="4"/>
      <c r="D175" s="6"/>
      <c r="E175" s="4"/>
      <c r="F175" s="6"/>
      <c r="G175" s="6"/>
      <c r="H175" s="4"/>
      <c r="I175" s="11" t="str">
        <f>IF(A175="",IF(COUNTA(B175:H175)&gt;0,"MISSING ID",""),IF(COUNTIFS($A$6:$A$205,A175)&lt;&gt;1,"DUPLICATE ID",IF(AND(C175&lt;&gt;"INITIAL",C175&lt;&gt;"RECON",C175&lt;&gt;"HEARING"),"UNKNOWN STAGE",IF(OR(NOT(ISNUMBER(B175)),B175&gt;Assumptions!$B$5),"INVALID SNAPSHOT",IF(OR(NOT(ISNUMBER(D175)),D175&gt;Assumptions!$B$5),"MISSING / FUTURE START",IF(COUNTIFS(Benchmarks!$A$6:$A$164,E175)&lt;&gt;1,"UNKNOWN OFFICE",IF(AND(F175&lt;&gt;"",OR(NOT(ISNUMBER(F175)),C175&lt;&gt;"HEARING")),"INVALID SCHEDULE",IF(AND(G175&lt;&gt;"",OR(NOT(ISNUMBER(G175)),G175&lt;Assumptions!$B$5)),"INVALID REVIEW DATE",IF(AND(F175&lt;&gt;"",F175&lt;Assumptions!$B$5,G175=""),"STALE SCHEDULE","OK")))))))))</f>
        <v/>
      </c>
    </row>
    <row r="176" spans="1:9" ht="22" customHeight="1">
      <c r="A176" s="4"/>
      <c r="B176" s="6"/>
      <c r="C176" s="4"/>
      <c r="D176" s="6"/>
      <c r="E176" s="4"/>
      <c r="F176" s="6"/>
      <c r="G176" s="6"/>
      <c r="H176" s="4"/>
      <c r="I176" s="11" t="str">
        <f>IF(A176="",IF(COUNTA(B176:H176)&gt;0,"MISSING ID",""),IF(COUNTIFS($A$6:$A$205,A176)&lt;&gt;1,"DUPLICATE ID",IF(AND(C176&lt;&gt;"INITIAL",C176&lt;&gt;"RECON",C176&lt;&gt;"HEARING"),"UNKNOWN STAGE",IF(OR(NOT(ISNUMBER(B176)),B176&gt;Assumptions!$B$5),"INVALID SNAPSHOT",IF(OR(NOT(ISNUMBER(D176)),D176&gt;Assumptions!$B$5),"MISSING / FUTURE START",IF(COUNTIFS(Benchmarks!$A$6:$A$164,E176)&lt;&gt;1,"UNKNOWN OFFICE",IF(AND(F176&lt;&gt;"",OR(NOT(ISNUMBER(F176)),C176&lt;&gt;"HEARING")),"INVALID SCHEDULE",IF(AND(G176&lt;&gt;"",OR(NOT(ISNUMBER(G176)),G176&lt;Assumptions!$B$5)),"INVALID REVIEW DATE",IF(AND(F176&lt;&gt;"",F176&lt;Assumptions!$B$5,G176=""),"STALE SCHEDULE","OK")))))))))</f>
        <v/>
      </c>
    </row>
    <row r="177" spans="1:9" ht="22" customHeight="1">
      <c r="A177" s="4"/>
      <c r="B177" s="6"/>
      <c r="C177" s="4"/>
      <c r="D177" s="6"/>
      <c r="E177" s="4"/>
      <c r="F177" s="6"/>
      <c r="G177" s="6"/>
      <c r="H177" s="4"/>
      <c r="I177" s="11" t="str">
        <f>IF(A177="",IF(COUNTA(B177:H177)&gt;0,"MISSING ID",""),IF(COUNTIFS($A$6:$A$205,A177)&lt;&gt;1,"DUPLICATE ID",IF(AND(C177&lt;&gt;"INITIAL",C177&lt;&gt;"RECON",C177&lt;&gt;"HEARING"),"UNKNOWN STAGE",IF(OR(NOT(ISNUMBER(B177)),B177&gt;Assumptions!$B$5),"INVALID SNAPSHOT",IF(OR(NOT(ISNUMBER(D177)),D177&gt;Assumptions!$B$5),"MISSING / FUTURE START",IF(COUNTIFS(Benchmarks!$A$6:$A$164,E177)&lt;&gt;1,"UNKNOWN OFFICE",IF(AND(F177&lt;&gt;"",OR(NOT(ISNUMBER(F177)),C177&lt;&gt;"HEARING")),"INVALID SCHEDULE",IF(AND(G177&lt;&gt;"",OR(NOT(ISNUMBER(G177)),G177&lt;Assumptions!$B$5)),"INVALID REVIEW DATE",IF(AND(F177&lt;&gt;"",F177&lt;Assumptions!$B$5,G177=""),"STALE SCHEDULE","OK")))))))))</f>
        <v/>
      </c>
    </row>
    <row r="178" spans="1:9" ht="22" customHeight="1">
      <c r="A178" s="4"/>
      <c r="B178" s="6"/>
      <c r="C178" s="4"/>
      <c r="D178" s="6"/>
      <c r="E178" s="4"/>
      <c r="F178" s="6"/>
      <c r="G178" s="6"/>
      <c r="H178" s="4"/>
      <c r="I178" s="11" t="str">
        <f>IF(A178="",IF(COUNTA(B178:H178)&gt;0,"MISSING ID",""),IF(COUNTIFS($A$6:$A$205,A178)&lt;&gt;1,"DUPLICATE ID",IF(AND(C178&lt;&gt;"INITIAL",C178&lt;&gt;"RECON",C178&lt;&gt;"HEARING"),"UNKNOWN STAGE",IF(OR(NOT(ISNUMBER(B178)),B178&gt;Assumptions!$B$5),"INVALID SNAPSHOT",IF(OR(NOT(ISNUMBER(D178)),D178&gt;Assumptions!$B$5),"MISSING / FUTURE START",IF(COUNTIFS(Benchmarks!$A$6:$A$164,E178)&lt;&gt;1,"UNKNOWN OFFICE",IF(AND(F178&lt;&gt;"",OR(NOT(ISNUMBER(F178)),C178&lt;&gt;"HEARING")),"INVALID SCHEDULE",IF(AND(G178&lt;&gt;"",OR(NOT(ISNUMBER(G178)),G178&lt;Assumptions!$B$5)),"INVALID REVIEW DATE",IF(AND(F178&lt;&gt;"",F178&lt;Assumptions!$B$5,G178=""),"STALE SCHEDULE","OK")))))))))</f>
        <v/>
      </c>
    </row>
    <row r="179" spans="1:9" ht="22" customHeight="1">
      <c r="A179" s="4"/>
      <c r="B179" s="6"/>
      <c r="C179" s="4"/>
      <c r="D179" s="6"/>
      <c r="E179" s="4"/>
      <c r="F179" s="6"/>
      <c r="G179" s="6"/>
      <c r="H179" s="4"/>
      <c r="I179" s="11" t="str">
        <f>IF(A179="",IF(COUNTA(B179:H179)&gt;0,"MISSING ID",""),IF(COUNTIFS($A$6:$A$205,A179)&lt;&gt;1,"DUPLICATE ID",IF(AND(C179&lt;&gt;"INITIAL",C179&lt;&gt;"RECON",C179&lt;&gt;"HEARING"),"UNKNOWN STAGE",IF(OR(NOT(ISNUMBER(B179)),B179&gt;Assumptions!$B$5),"INVALID SNAPSHOT",IF(OR(NOT(ISNUMBER(D179)),D179&gt;Assumptions!$B$5),"MISSING / FUTURE START",IF(COUNTIFS(Benchmarks!$A$6:$A$164,E179)&lt;&gt;1,"UNKNOWN OFFICE",IF(AND(F179&lt;&gt;"",OR(NOT(ISNUMBER(F179)),C179&lt;&gt;"HEARING")),"INVALID SCHEDULE",IF(AND(G179&lt;&gt;"",OR(NOT(ISNUMBER(G179)),G179&lt;Assumptions!$B$5)),"INVALID REVIEW DATE",IF(AND(F179&lt;&gt;"",F179&lt;Assumptions!$B$5,G179=""),"STALE SCHEDULE","OK")))))))))</f>
        <v/>
      </c>
    </row>
    <row r="180" spans="1:9" ht="22" customHeight="1">
      <c r="A180" s="4"/>
      <c r="B180" s="6"/>
      <c r="C180" s="4"/>
      <c r="D180" s="6"/>
      <c r="E180" s="4"/>
      <c r="F180" s="6"/>
      <c r="G180" s="6"/>
      <c r="H180" s="4"/>
      <c r="I180" s="11" t="str">
        <f>IF(A180="",IF(COUNTA(B180:H180)&gt;0,"MISSING ID",""),IF(COUNTIFS($A$6:$A$205,A180)&lt;&gt;1,"DUPLICATE ID",IF(AND(C180&lt;&gt;"INITIAL",C180&lt;&gt;"RECON",C180&lt;&gt;"HEARING"),"UNKNOWN STAGE",IF(OR(NOT(ISNUMBER(B180)),B180&gt;Assumptions!$B$5),"INVALID SNAPSHOT",IF(OR(NOT(ISNUMBER(D180)),D180&gt;Assumptions!$B$5),"MISSING / FUTURE START",IF(COUNTIFS(Benchmarks!$A$6:$A$164,E180)&lt;&gt;1,"UNKNOWN OFFICE",IF(AND(F180&lt;&gt;"",OR(NOT(ISNUMBER(F180)),C180&lt;&gt;"HEARING")),"INVALID SCHEDULE",IF(AND(G180&lt;&gt;"",OR(NOT(ISNUMBER(G180)),G180&lt;Assumptions!$B$5)),"INVALID REVIEW DATE",IF(AND(F180&lt;&gt;"",F180&lt;Assumptions!$B$5,G180=""),"STALE SCHEDULE","OK")))))))))</f>
        <v/>
      </c>
    </row>
    <row r="181" spans="1:9" ht="22" customHeight="1">
      <c r="A181" s="4"/>
      <c r="B181" s="6"/>
      <c r="C181" s="4"/>
      <c r="D181" s="6"/>
      <c r="E181" s="4"/>
      <c r="F181" s="6"/>
      <c r="G181" s="6"/>
      <c r="H181" s="4"/>
      <c r="I181" s="11" t="str">
        <f>IF(A181="",IF(COUNTA(B181:H181)&gt;0,"MISSING ID",""),IF(COUNTIFS($A$6:$A$205,A181)&lt;&gt;1,"DUPLICATE ID",IF(AND(C181&lt;&gt;"INITIAL",C181&lt;&gt;"RECON",C181&lt;&gt;"HEARING"),"UNKNOWN STAGE",IF(OR(NOT(ISNUMBER(B181)),B181&gt;Assumptions!$B$5),"INVALID SNAPSHOT",IF(OR(NOT(ISNUMBER(D181)),D181&gt;Assumptions!$B$5),"MISSING / FUTURE START",IF(COUNTIFS(Benchmarks!$A$6:$A$164,E181)&lt;&gt;1,"UNKNOWN OFFICE",IF(AND(F181&lt;&gt;"",OR(NOT(ISNUMBER(F181)),C181&lt;&gt;"HEARING")),"INVALID SCHEDULE",IF(AND(G181&lt;&gt;"",OR(NOT(ISNUMBER(G181)),G181&lt;Assumptions!$B$5)),"INVALID REVIEW DATE",IF(AND(F181&lt;&gt;"",F181&lt;Assumptions!$B$5,G181=""),"STALE SCHEDULE","OK")))))))))</f>
        <v/>
      </c>
    </row>
    <row r="182" spans="1:9" ht="22" customHeight="1">
      <c r="A182" s="4"/>
      <c r="B182" s="6"/>
      <c r="C182" s="4"/>
      <c r="D182" s="6"/>
      <c r="E182" s="4"/>
      <c r="F182" s="6"/>
      <c r="G182" s="6"/>
      <c r="H182" s="4"/>
      <c r="I182" s="11" t="str">
        <f>IF(A182="",IF(COUNTA(B182:H182)&gt;0,"MISSING ID",""),IF(COUNTIFS($A$6:$A$205,A182)&lt;&gt;1,"DUPLICATE ID",IF(AND(C182&lt;&gt;"INITIAL",C182&lt;&gt;"RECON",C182&lt;&gt;"HEARING"),"UNKNOWN STAGE",IF(OR(NOT(ISNUMBER(B182)),B182&gt;Assumptions!$B$5),"INVALID SNAPSHOT",IF(OR(NOT(ISNUMBER(D182)),D182&gt;Assumptions!$B$5),"MISSING / FUTURE START",IF(COUNTIFS(Benchmarks!$A$6:$A$164,E182)&lt;&gt;1,"UNKNOWN OFFICE",IF(AND(F182&lt;&gt;"",OR(NOT(ISNUMBER(F182)),C182&lt;&gt;"HEARING")),"INVALID SCHEDULE",IF(AND(G182&lt;&gt;"",OR(NOT(ISNUMBER(G182)),G182&lt;Assumptions!$B$5)),"INVALID REVIEW DATE",IF(AND(F182&lt;&gt;"",F182&lt;Assumptions!$B$5,G182=""),"STALE SCHEDULE","OK")))))))))</f>
        <v/>
      </c>
    </row>
    <row r="183" spans="1:9" ht="22" customHeight="1">
      <c r="A183" s="4"/>
      <c r="B183" s="6"/>
      <c r="C183" s="4"/>
      <c r="D183" s="6"/>
      <c r="E183" s="4"/>
      <c r="F183" s="6"/>
      <c r="G183" s="6"/>
      <c r="H183" s="4"/>
      <c r="I183" s="11" t="str">
        <f>IF(A183="",IF(COUNTA(B183:H183)&gt;0,"MISSING ID",""),IF(COUNTIFS($A$6:$A$205,A183)&lt;&gt;1,"DUPLICATE ID",IF(AND(C183&lt;&gt;"INITIAL",C183&lt;&gt;"RECON",C183&lt;&gt;"HEARING"),"UNKNOWN STAGE",IF(OR(NOT(ISNUMBER(B183)),B183&gt;Assumptions!$B$5),"INVALID SNAPSHOT",IF(OR(NOT(ISNUMBER(D183)),D183&gt;Assumptions!$B$5),"MISSING / FUTURE START",IF(COUNTIFS(Benchmarks!$A$6:$A$164,E183)&lt;&gt;1,"UNKNOWN OFFICE",IF(AND(F183&lt;&gt;"",OR(NOT(ISNUMBER(F183)),C183&lt;&gt;"HEARING")),"INVALID SCHEDULE",IF(AND(G183&lt;&gt;"",OR(NOT(ISNUMBER(G183)),G183&lt;Assumptions!$B$5)),"INVALID REVIEW DATE",IF(AND(F183&lt;&gt;"",F183&lt;Assumptions!$B$5,G183=""),"STALE SCHEDULE","OK")))))))))</f>
        <v/>
      </c>
    </row>
    <row r="184" spans="1:9" ht="22" customHeight="1">
      <c r="A184" s="4"/>
      <c r="B184" s="6"/>
      <c r="C184" s="4"/>
      <c r="D184" s="6"/>
      <c r="E184" s="4"/>
      <c r="F184" s="6"/>
      <c r="G184" s="6"/>
      <c r="H184" s="4"/>
      <c r="I184" s="11" t="str">
        <f>IF(A184="",IF(COUNTA(B184:H184)&gt;0,"MISSING ID",""),IF(COUNTIFS($A$6:$A$205,A184)&lt;&gt;1,"DUPLICATE ID",IF(AND(C184&lt;&gt;"INITIAL",C184&lt;&gt;"RECON",C184&lt;&gt;"HEARING"),"UNKNOWN STAGE",IF(OR(NOT(ISNUMBER(B184)),B184&gt;Assumptions!$B$5),"INVALID SNAPSHOT",IF(OR(NOT(ISNUMBER(D184)),D184&gt;Assumptions!$B$5),"MISSING / FUTURE START",IF(COUNTIFS(Benchmarks!$A$6:$A$164,E184)&lt;&gt;1,"UNKNOWN OFFICE",IF(AND(F184&lt;&gt;"",OR(NOT(ISNUMBER(F184)),C184&lt;&gt;"HEARING")),"INVALID SCHEDULE",IF(AND(G184&lt;&gt;"",OR(NOT(ISNUMBER(G184)),G184&lt;Assumptions!$B$5)),"INVALID REVIEW DATE",IF(AND(F184&lt;&gt;"",F184&lt;Assumptions!$B$5,G184=""),"STALE SCHEDULE","OK")))))))))</f>
        <v/>
      </c>
    </row>
    <row r="185" spans="1:9" ht="22" customHeight="1">
      <c r="A185" s="4"/>
      <c r="B185" s="6"/>
      <c r="C185" s="4"/>
      <c r="D185" s="6"/>
      <c r="E185" s="4"/>
      <c r="F185" s="6"/>
      <c r="G185" s="6"/>
      <c r="H185" s="4"/>
      <c r="I185" s="11" t="str">
        <f>IF(A185="",IF(COUNTA(B185:H185)&gt;0,"MISSING ID",""),IF(COUNTIFS($A$6:$A$205,A185)&lt;&gt;1,"DUPLICATE ID",IF(AND(C185&lt;&gt;"INITIAL",C185&lt;&gt;"RECON",C185&lt;&gt;"HEARING"),"UNKNOWN STAGE",IF(OR(NOT(ISNUMBER(B185)),B185&gt;Assumptions!$B$5),"INVALID SNAPSHOT",IF(OR(NOT(ISNUMBER(D185)),D185&gt;Assumptions!$B$5),"MISSING / FUTURE START",IF(COUNTIFS(Benchmarks!$A$6:$A$164,E185)&lt;&gt;1,"UNKNOWN OFFICE",IF(AND(F185&lt;&gt;"",OR(NOT(ISNUMBER(F185)),C185&lt;&gt;"HEARING")),"INVALID SCHEDULE",IF(AND(G185&lt;&gt;"",OR(NOT(ISNUMBER(G185)),G185&lt;Assumptions!$B$5)),"INVALID REVIEW DATE",IF(AND(F185&lt;&gt;"",F185&lt;Assumptions!$B$5,G185=""),"STALE SCHEDULE","OK")))))))))</f>
        <v/>
      </c>
    </row>
    <row r="186" spans="1:9" ht="22" customHeight="1">
      <c r="A186" s="4"/>
      <c r="B186" s="6"/>
      <c r="C186" s="4"/>
      <c r="D186" s="6"/>
      <c r="E186" s="4"/>
      <c r="F186" s="6"/>
      <c r="G186" s="6"/>
      <c r="H186" s="4"/>
      <c r="I186" s="11" t="str">
        <f>IF(A186="",IF(COUNTA(B186:H186)&gt;0,"MISSING ID",""),IF(COUNTIFS($A$6:$A$205,A186)&lt;&gt;1,"DUPLICATE ID",IF(AND(C186&lt;&gt;"INITIAL",C186&lt;&gt;"RECON",C186&lt;&gt;"HEARING"),"UNKNOWN STAGE",IF(OR(NOT(ISNUMBER(B186)),B186&gt;Assumptions!$B$5),"INVALID SNAPSHOT",IF(OR(NOT(ISNUMBER(D186)),D186&gt;Assumptions!$B$5),"MISSING / FUTURE START",IF(COUNTIFS(Benchmarks!$A$6:$A$164,E186)&lt;&gt;1,"UNKNOWN OFFICE",IF(AND(F186&lt;&gt;"",OR(NOT(ISNUMBER(F186)),C186&lt;&gt;"HEARING")),"INVALID SCHEDULE",IF(AND(G186&lt;&gt;"",OR(NOT(ISNUMBER(G186)),G186&lt;Assumptions!$B$5)),"INVALID REVIEW DATE",IF(AND(F186&lt;&gt;"",F186&lt;Assumptions!$B$5,G186=""),"STALE SCHEDULE","OK")))))))))</f>
        <v/>
      </c>
    </row>
    <row r="187" spans="1:9" ht="22" customHeight="1">
      <c r="A187" s="4"/>
      <c r="B187" s="6"/>
      <c r="C187" s="4"/>
      <c r="D187" s="6"/>
      <c r="E187" s="4"/>
      <c r="F187" s="6"/>
      <c r="G187" s="6"/>
      <c r="H187" s="4"/>
      <c r="I187" s="11" t="str">
        <f>IF(A187="",IF(COUNTA(B187:H187)&gt;0,"MISSING ID",""),IF(COUNTIFS($A$6:$A$205,A187)&lt;&gt;1,"DUPLICATE ID",IF(AND(C187&lt;&gt;"INITIAL",C187&lt;&gt;"RECON",C187&lt;&gt;"HEARING"),"UNKNOWN STAGE",IF(OR(NOT(ISNUMBER(B187)),B187&gt;Assumptions!$B$5),"INVALID SNAPSHOT",IF(OR(NOT(ISNUMBER(D187)),D187&gt;Assumptions!$B$5),"MISSING / FUTURE START",IF(COUNTIFS(Benchmarks!$A$6:$A$164,E187)&lt;&gt;1,"UNKNOWN OFFICE",IF(AND(F187&lt;&gt;"",OR(NOT(ISNUMBER(F187)),C187&lt;&gt;"HEARING")),"INVALID SCHEDULE",IF(AND(G187&lt;&gt;"",OR(NOT(ISNUMBER(G187)),G187&lt;Assumptions!$B$5)),"INVALID REVIEW DATE",IF(AND(F187&lt;&gt;"",F187&lt;Assumptions!$B$5,G187=""),"STALE SCHEDULE","OK")))))))))</f>
        <v/>
      </c>
    </row>
    <row r="188" spans="1:9" ht="22" customHeight="1">
      <c r="A188" s="4"/>
      <c r="B188" s="6"/>
      <c r="C188" s="4"/>
      <c r="D188" s="6"/>
      <c r="E188" s="4"/>
      <c r="F188" s="6"/>
      <c r="G188" s="6"/>
      <c r="H188" s="4"/>
      <c r="I188" s="11" t="str">
        <f>IF(A188="",IF(COUNTA(B188:H188)&gt;0,"MISSING ID",""),IF(COUNTIFS($A$6:$A$205,A188)&lt;&gt;1,"DUPLICATE ID",IF(AND(C188&lt;&gt;"INITIAL",C188&lt;&gt;"RECON",C188&lt;&gt;"HEARING"),"UNKNOWN STAGE",IF(OR(NOT(ISNUMBER(B188)),B188&gt;Assumptions!$B$5),"INVALID SNAPSHOT",IF(OR(NOT(ISNUMBER(D188)),D188&gt;Assumptions!$B$5),"MISSING / FUTURE START",IF(COUNTIFS(Benchmarks!$A$6:$A$164,E188)&lt;&gt;1,"UNKNOWN OFFICE",IF(AND(F188&lt;&gt;"",OR(NOT(ISNUMBER(F188)),C188&lt;&gt;"HEARING")),"INVALID SCHEDULE",IF(AND(G188&lt;&gt;"",OR(NOT(ISNUMBER(G188)),G188&lt;Assumptions!$B$5)),"INVALID REVIEW DATE",IF(AND(F188&lt;&gt;"",F188&lt;Assumptions!$B$5,G188=""),"STALE SCHEDULE","OK")))))))))</f>
        <v/>
      </c>
    </row>
    <row r="189" spans="1:9" ht="22" customHeight="1">
      <c r="A189" s="4"/>
      <c r="B189" s="6"/>
      <c r="C189" s="4"/>
      <c r="D189" s="6"/>
      <c r="E189" s="4"/>
      <c r="F189" s="6"/>
      <c r="G189" s="6"/>
      <c r="H189" s="4"/>
      <c r="I189" s="11" t="str">
        <f>IF(A189="",IF(COUNTA(B189:H189)&gt;0,"MISSING ID",""),IF(COUNTIFS($A$6:$A$205,A189)&lt;&gt;1,"DUPLICATE ID",IF(AND(C189&lt;&gt;"INITIAL",C189&lt;&gt;"RECON",C189&lt;&gt;"HEARING"),"UNKNOWN STAGE",IF(OR(NOT(ISNUMBER(B189)),B189&gt;Assumptions!$B$5),"INVALID SNAPSHOT",IF(OR(NOT(ISNUMBER(D189)),D189&gt;Assumptions!$B$5),"MISSING / FUTURE START",IF(COUNTIFS(Benchmarks!$A$6:$A$164,E189)&lt;&gt;1,"UNKNOWN OFFICE",IF(AND(F189&lt;&gt;"",OR(NOT(ISNUMBER(F189)),C189&lt;&gt;"HEARING")),"INVALID SCHEDULE",IF(AND(G189&lt;&gt;"",OR(NOT(ISNUMBER(G189)),G189&lt;Assumptions!$B$5)),"INVALID REVIEW DATE",IF(AND(F189&lt;&gt;"",F189&lt;Assumptions!$B$5,G189=""),"STALE SCHEDULE","OK")))))))))</f>
        <v/>
      </c>
    </row>
    <row r="190" spans="1:9" ht="22" customHeight="1">
      <c r="A190" s="4"/>
      <c r="B190" s="6"/>
      <c r="C190" s="4"/>
      <c r="D190" s="6"/>
      <c r="E190" s="4"/>
      <c r="F190" s="6"/>
      <c r="G190" s="6"/>
      <c r="H190" s="4"/>
      <c r="I190" s="11" t="str">
        <f>IF(A190="",IF(COUNTA(B190:H190)&gt;0,"MISSING ID",""),IF(COUNTIFS($A$6:$A$205,A190)&lt;&gt;1,"DUPLICATE ID",IF(AND(C190&lt;&gt;"INITIAL",C190&lt;&gt;"RECON",C190&lt;&gt;"HEARING"),"UNKNOWN STAGE",IF(OR(NOT(ISNUMBER(B190)),B190&gt;Assumptions!$B$5),"INVALID SNAPSHOT",IF(OR(NOT(ISNUMBER(D190)),D190&gt;Assumptions!$B$5),"MISSING / FUTURE START",IF(COUNTIFS(Benchmarks!$A$6:$A$164,E190)&lt;&gt;1,"UNKNOWN OFFICE",IF(AND(F190&lt;&gt;"",OR(NOT(ISNUMBER(F190)),C190&lt;&gt;"HEARING")),"INVALID SCHEDULE",IF(AND(G190&lt;&gt;"",OR(NOT(ISNUMBER(G190)),G190&lt;Assumptions!$B$5)),"INVALID REVIEW DATE",IF(AND(F190&lt;&gt;"",F190&lt;Assumptions!$B$5,G190=""),"STALE SCHEDULE","OK")))))))))</f>
        <v/>
      </c>
    </row>
    <row r="191" spans="1:9" ht="22" customHeight="1">
      <c r="A191" s="4"/>
      <c r="B191" s="6"/>
      <c r="C191" s="4"/>
      <c r="D191" s="6"/>
      <c r="E191" s="4"/>
      <c r="F191" s="6"/>
      <c r="G191" s="6"/>
      <c r="H191" s="4"/>
      <c r="I191" s="11" t="str">
        <f>IF(A191="",IF(COUNTA(B191:H191)&gt;0,"MISSING ID",""),IF(COUNTIFS($A$6:$A$205,A191)&lt;&gt;1,"DUPLICATE ID",IF(AND(C191&lt;&gt;"INITIAL",C191&lt;&gt;"RECON",C191&lt;&gt;"HEARING"),"UNKNOWN STAGE",IF(OR(NOT(ISNUMBER(B191)),B191&gt;Assumptions!$B$5),"INVALID SNAPSHOT",IF(OR(NOT(ISNUMBER(D191)),D191&gt;Assumptions!$B$5),"MISSING / FUTURE START",IF(COUNTIFS(Benchmarks!$A$6:$A$164,E191)&lt;&gt;1,"UNKNOWN OFFICE",IF(AND(F191&lt;&gt;"",OR(NOT(ISNUMBER(F191)),C191&lt;&gt;"HEARING")),"INVALID SCHEDULE",IF(AND(G191&lt;&gt;"",OR(NOT(ISNUMBER(G191)),G191&lt;Assumptions!$B$5)),"INVALID REVIEW DATE",IF(AND(F191&lt;&gt;"",F191&lt;Assumptions!$B$5,G191=""),"STALE SCHEDULE","OK")))))))))</f>
        <v/>
      </c>
    </row>
    <row r="192" spans="1:9" ht="22" customHeight="1">
      <c r="A192" s="4"/>
      <c r="B192" s="6"/>
      <c r="C192" s="4"/>
      <c r="D192" s="6"/>
      <c r="E192" s="4"/>
      <c r="F192" s="6"/>
      <c r="G192" s="6"/>
      <c r="H192" s="4"/>
      <c r="I192" s="11" t="str">
        <f>IF(A192="",IF(COUNTA(B192:H192)&gt;0,"MISSING ID",""),IF(COUNTIFS($A$6:$A$205,A192)&lt;&gt;1,"DUPLICATE ID",IF(AND(C192&lt;&gt;"INITIAL",C192&lt;&gt;"RECON",C192&lt;&gt;"HEARING"),"UNKNOWN STAGE",IF(OR(NOT(ISNUMBER(B192)),B192&gt;Assumptions!$B$5),"INVALID SNAPSHOT",IF(OR(NOT(ISNUMBER(D192)),D192&gt;Assumptions!$B$5),"MISSING / FUTURE START",IF(COUNTIFS(Benchmarks!$A$6:$A$164,E192)&lt;&gt;1,"UNKNOWN OFFICE",IF(AND(F192&lt;&gt;"",OR(NOT(ISNUMBER(F192)),C192&lt;&gt;"HEARING")),"INVALID SCHEDULE",IF(AND(G192&lt;&gt;"",OR(NOT(ISNUMBER(G192)),G192&lt;Assumptions!$B$5)),"INVALID REVIEW DATE",IF(AND(F192&lt;&gt;"",F192&lt;Assumptions!$B$5,G192=""),"STALE SCHEDULE","OK")))))))))</f>
        <v/>
      </c>
    </row>
    <row r="193" spans="1:9" ht="22" customHeight="1">
      <c r="A193" s="4"/>
      <c r="B193" s="6"/>
      <c r="C193" s="4"/>
      <c r="D193" s="6"/>
      <c r="E193" s="4"/>
      <c r="F193" s="6"/>
      <c r="G193" s="6"/>
      <c r="H193" s="4"/>
      <c r="I193" s="11" t="str">
        <f>IF(A193="",IF(COUNTA(B193:H193)&gt;0,"MISSING ID",""),IF(COUNTIFS($A$6:$A$205,A193)&lt;&gt;1,"DUPLICATE ID",IF(AND(C193&lt;&gt;"INITIAL",C193&lt;&gt;"RECON",C193&lt;&gt;"HEARING"),"UNKNOWN STAGE",IF(OR(NOT(ISNUMBER(B193)),B193&gt;Assumptions!$B$5),"INVALID SNAPSHOT",IF(OR(NOT(ISNUMBER(D193)),D193&gt;Assumptions!$B$5),"MISSING / FUTURE START",IF(COUNTIFS(Benchmarks!$A$6:$A$164,E193)&lt;&gt;1,"UNKNOWN OFFICE",IF(AND(F193&lt;&gt;"",OR(NOT(ISNUMBER(F193)),C193&lt;&gt;"HEARING")),"INVALID SCHEDULE",IF(AND(G193&lt;&gt;"",OR(NOT(ISNUMBER(G193)),G193&lt;Assumptions!$B$5)),"INVALID REVIEW DATE",IF(AND(F193&lt;&gt;"",F193&lt;Assumptions!$B$5,G193=""),"STALE SCHEDULE","OK")))))))))</f>
        <v/>
      </c>
    </row>
    <row r="194" spans="1:9" ht="22" customHeight="1">
      <c r="A194" s="4"/>
      <c r="B194" s="6"/>
      <c r="C194" s="4"/>
      <c r="D194" s="6"/>
      <c r="E194" s="4"/>
      <c r="F194" s="6"/>
      <c r="G194" s="6"/>
      <c r="H194" s="4"/>
      <c r="I194" s="11" t="str">
        <f>IF(A194="",IF(COUNTA(B194:H194)&gt;0,"MISSING ID",""),IF(COUNTIFS($A$6:$A$205,A194)&lt;&gt;1,"DUPLICATE ID",IF(AND(C194&lt;&gt;"INITIAL",C194&lt;&gt;"RECON",C194&lt;&gt;"HEARING"),"UNKNOWN STAGE",IF(OR(NOT(ISNUMBER(B194)),B194&gt;Assumptions!$B$5),"INVALID SNAPSHOT",IF(OR(NOT(ISNUMBER(D194)),D194&gt;Assumptions!$B$5),"MISSING / FUTURE START",IF(COUNTIFS(Benchmarks!$A$6:$A$164,E194)&lt;&gt;1,"UNKNOWN OFFICE",IF(AND(F194&lt;&gt;"",OR(NOT(ISNUMBER(F194)),C194&lt;&gt;"HEARING")),"INVALID SCHEDULE",IF(AND(G194&lt;&gt;"",OR(NOT(ISNUMBER(G194)),G194&lt;Assumptions!$B$5)),"INVALID REVIEW DATE",IF(AND(F194&lt;&gt;"",F194&lt;Assumptions!$B$5,G194=""),"STALE SCHEDULE","OK")))))))))</f>
        <v/>
      </c>
    </row>
    <row r="195" spans="1:9" ht="22" customHeight="1">
      <c r="A195" s="4"/>
      <c r="B195" s="6"/>
      <c r="C195" s="4"/>
      <c r="D195" s="6"/>
      <c r="E195" s="4"/>
      <c r="F195" s="6"/>
      <c r="G195" s="6"/>
      <c r="H195" s="4"/>
      <c r="I195" s="11" t="str">
        <f>IF(A195="",IF(COUNTA(B195:H195)&gt;0,"MISSING ID",""),IF(COUNTIFS($A$6:$A$205,A195)&lt;&gt;1,"DUPLICATE ID",IF(AND(C195&lt;&gt;"INITIAL",C195&lt;&gt;"RECON",C195&lt;&gt;"HEARING"),"UNKNOWN STAGE",IF(OR(NOT(ISNUMBER(B195)),B195&gt;Assumptions!$B$5),"INVALID SNAPSHOT",IF(OR(NOT(ISNUMBER(D195)),D195&gt;Assumptions!$B$5),"MISSING / FUTURE START",IF(COUNTIFS(Benchmarks!$A$6:$A$164,E195)&lt;&gt;1,"UNKNOWN OFFICE",IF(AND(F195&lt;&gt;"",OR(NOT(ISNUMBER(F195)),C195&lt;&gt;"HEARING")),"INVALID SCHEDULE",IF(AND(G195&lt;&gt;"",OR(NOT(ISNUMBER(G195)),G195&lt;Assumptions!$B$5)),"INVALID REVIEW DATE",IF(AND(F195&lt;&gt;"",F195&lt;Assumptions!$B$5,G195=""),"STALE SCHEDULE","OK")))))))))</f>
        <v/>
      </c>
    </row>
    <row r="196" spans="1:9" ht="22" customHeight="1">
      <c r="A196" s="4"/>
      <c r="B196" s="6"/>
      <c r="C196" s="4"/>
      <c r="D196" s="6"/>
      <c r="E196" s="4"/>
      <c r="F196" s="6"/>
      <c r="G196" s="6"/>
      <c r="H196" s="4"/>
      <c r="I196" s="11" t="str">
        <f>IF(A196="",IF(COUNTA(B196:H196)&gt;0,"MISSING ID",""),IF(COUNTIFS($A$6:$A$205,A196)&lt;&gt;1,"DUPLICATE ID",IF(AND(C196&lt;&gt;"INITIAL",C196&lt;&gt;"RECON",C196&lt;&gt;"HEARING"),"UNKNOWN STAGE",IF(OR(NOT(ISNUMBER(B196)),B196&gt;Assumptions!$B$5),"INVALID SNAPSHOT",IF(OR(NOT(ISNUMBER(D196)),D196&gt;Assumptions!$B$5),"MISSING / FUTURE START",IF(COUNTIFS(Benchmarks!$A$6:$A$164,E196)&lt;&gt;1,"UNKNOWN OFFICE",IF(AND(F196&lt;&gt;"",OR(NOT(ISNUMBER(F196)),C196&lt;&gt;"HEARING")),"INVALID SCHEDULE",IF(AND(G196&lt;&gt;"",OR(NOT(ISNUMBER(G196)),G196&lt;Assumptions!$B$5)),"INVALID REVIEW DATE",IF(AND(F196&lt;&gt;"",F196&lt;Assumptions!$B$5,G196=""),"STALE SCHEDULE","OK")))))))))</f>
        <v/>
      </c>
    </row>
    <row r="197" spans="1:9" ht="22" customHeight="1">
      <c r="A197" s="4"/>
      <c r="B197" s="6"/>
      <c r="C197" s="4"/>
      <c r="D197" s="6"/>
      <c r="E197" s="4"/>
      <c r="F197" s="6"/>
      <c r="G197" s="6"/>
      <c r="H197" s="4"/>
      <c r="I197" s="11" t="str">
        <f>IF(A197="",IF(COUNTA(B197:H197)&gt;0,"MISSING ID",""),IF(COUNTIFS($A$6:$A$205,A197)&lt;&gt;1,"DUPLICATE ID",IF(AND(C197&lt;&gt;"INITIAL",C197&lt;&gt;"RECON",C197&lt;&gt;"HEARING"),"UNKNOWN STAGE",IF(OR(NOT(ISNUMBER(B197)),B197&gt;Assumptions!$B$5),"INVALID SNAPSHOT",IF(OR(NOT(ISNUMBER(D197)),D197&gt;Assumptions!$B$5),"MISSING / FUTURE START",IF(COUNTIFS(Benchmarks!$A$6:$A$164,E197)&lt;&gt;1,"UNKNOWN OFFICE",IF(AND(F197&lt;&gt;"",OR(NOT(ISNUMBER(F197)),C197&lt;&gt;"HEARING")),"INVALID SCHEDULE",IF(AND(G197&lt;&gt;"",OR(NOT(ISNUMBER(G197)),G197&lt;Assumptions!$B$5)),"INVALID REVIEW DATE",IF(AND(F197&lt;&gt;"",F197&lt;Assumptions!$B$5,G197=""),"STALE SCHEDULE","OK")))))))))</f>
        <v/>
      </c>
    </row>
    <row r="198" spans="1:9" ht="22" customHeight="1">
      <c r="A198" s="4"/>
      <c r="B198" s="6"/>
      <c r="C198" s="4"/>
      <c r="D198" s="6"/>
      <c r="E198" s="4"/>
      <c r="F198" s="6"/>
      <c r="G198" s="6"/>
      <c r="H198" s="4"/>
      <c r="I198" s="11" t="str">
        <f>IF(A198="",IF(COUNTA(B198:H198)&gt;0,"MISSING ID",""),IF(COUNTIFS($A$6:$A$205,A198)&lt;&gt;1,"DUPLICATE ID",IF(AND(C198&lt;&gt;"INITIAL",C198&lt;&gt;"RECON",C198&lt;&gt;"HEARING"),"UNKNOWN STAGE",IF(OR(NOT(ISNUMBER(B198)),B198&gt;Assumptions!$B$5),"INVALID SNAPSHOT",IF(OR(NOT(ISNUMBER(D198)),D198&gt;Assumptions!$B$5),"MISSING / FUTURE START",IF(COUNTIFS(Benchmarks!$A$6:$A$164,E198)&lt;&gt;1,"UNKNOWN OFFICE",IF(AND(F198&lt;&gt;"",OR(NOT(ISNUMBER(F198)),C198&lt;&gt;"HEARING")),"INVALID SCHEDULE",IF(AND(G198&lt;&gt;"",OR(NOT(ISNUMBER(G198)),G198&lt;Assumptions!$B$5)),"INVALID REVIEW DATE",IF(AND(F198&lt;&gt;"",F198&lt;Assumptions!$B$5,G198=""),"STALE SCHEDULE","OK")))))))))</f>
        <v/>
      </c>
    </row>
    <row r="199" spans="1:9" ht="22" customHeight="1">
      <c r="A199" s="4"/>
      <c r="B199" s="6"/>
      <c r="C199" s="4"/>
      <c r="D199" s="6"/>
      <c r="E199" s="4"/>
      <c r="F199" s="6"/>
      <c r="G199" s="6"/>
      <c r="H199" s="4"/>
      <c r="I199" s="11" t="str">
        <f>IF(A199="",IF(COUNTA(B199:H199)&gt;0,"MISSING ID",""),IF(COUNTIFS($A$6:$A$205,A199)&lt;&gt;1,"DUPLICATE ID",IF(AND(C199&lt;&gt;"INITIAL",C199&lt;&gt;"RECON",C199&lt;&gt;"HEARING"),"UNKNOWN STAGE",IF(OR(NOT(ISNUMBER(B199)),B199&gt;Assumptions!$B$5),"INVALID SNAPSHOT",IF(OR(NOT(ISNUMBER(D199)),D199&gt;Assumptions!$B$5),"MISSING / FUTURE START",IF(COUNTIFS(Benchmarks!$A$6:$A$164,E199)&lt;&gt;1,"UNKNOWN OFFICE",IF(AND(F199&lt;&gt;"",OR(NOT(ISNUMBER(F199)),C199&lt;&gt;"HEARING")),"INVALID SCHEDULE",IF(AND(G199&lt;&gt;"",OR(NOT(ISNUMBER(G199)),G199&lt;Assumptions!$B$5)),"INVALID REVIEW DATE",IF(AND(F199&lt;&gt;"",F199&lt;Assumptions!$B$5,G199=""),"STALE SCHEDULE","OK")))))))))</f>
        <v/>
      </c>
    </row>
    <row r="200" spans="1:9" ht="22" customHeight="1">
      <c r="A200" s="4"/>
      <c r="B200" s="6"/>
      <c r="C200" s="4"/>
      <c r="D200" s="6"/>
      <c r="E200" s="4"/>
      <c r="F200" s="6"/>
      <c r="G200" s="6"/>
      <c r="H200" s="4"/>
      <c r="I200" s="11" t="str">
        <f>IF(A200="",IF(COUNTA(B200:H200)&gt;0,"MISSING ID",""),IF(COUNTIFS($A$6:$A$205,A200)&lt;&gt;1,"DUPLICATE ID",IF(AND(C200&lt;&gt;"INITIAL",C200&lt;&gt;"RECON",C200&lt;&gt;"HEARING"),"UNKNOWN STAGE",IF(OR(NOT(ISNUMBER(B200)),B200&gt;Assumptions!$B$5),"INVALID SNAPSHOT",IF(OR(NOT(ISNUMBER(D200)),D200&gt;Assumptions!$B$5),"MISSING / FUTURE START",IF(COUNTIFS(Benchmarks!$A$6:$A$164,E200)&lt;&gt;1,"UNKNOWN OFFICE",IF(AND(F200&lt;&gt;"",OR(NOT(ISNUMBER(F200)),C200&lt;&gt;"HEARING")),"INVALID SCHEDULE",IF(AND(G200&lt;&gt;"",OR(NOT(ISNUMBER(G200)),G200&lt;Assumptions!$B$5)),"INVALID REVIEW DATE",IF(AND(F200&lt;&gt;"",F200&lt;Assumptions!$B$5,G200=""),"STALE SCHEDULE","OK")))))))))</f>
        <v/>
      </c>
    </row>
    <row r="201" spans="1:9" ht="22" customHeight="1">
      <c r="A201" s="4"/>
      <c r="B201" s="6"/>
      <c r="C201" s="4"/>
      <c r="D201" s="6"/>
      <c r="E201" s="4"/>
      <c r="F201" s="6"/>
      <c r="G201" s="6"/>
      <c r="H201" s="4"/>
      <c r="I201" s="11" t="str">
        <f>IF(A201="",IF(COUNTA(B201:H201)&gt;0,"MISSING ID",""),IF(COUNTIFS($A$6:$A$205,A201)&lt;&gt;1,"DUPLICATE ID",IF(AND(C201&lt;&gt;"INITIAL",C201&lt;&gt;"RECON",C201&lt;&gt;"HEARING"),"UNKNOWN STAGE",IF(OR(NOT(ISNUMBER(B201)),B201&gt;Assumptions!$B$5),"INVALID SNAPSHOT",IF(OR(NOT(ISNUMBER(D201)),D201&gt;Assumptions!$B$5),"MISSING / FUTURE START",IF(COUNTIFS(Benchmarks!$A$6:$A$164,E201)&lt;&gt;1,"UNKNOWN OFFICE",IF(AND(F201&lt;&gt;"",OR(NOT(ISNUMBER(F201)),C201&lt;&gt;"HEARING")),"INVALID SCHEDULE",IF(AND(G201&lt;&gt;"",OR(NOT(ISNUMBER(G201)),G201&lt;Assumptions!$B$5)),"INVALID REVIEW DATE",IF(AND(F201&lt;&gt;"",F201&lt;Assumptions!$B$5,G201=""),"STALE SCHEDULE","OK")))))))))</f>
        <v/>
      </c>
    </row>
    <row r="202" spans="1:9" ht="22" customHeight="1">
      <c r="A202" s="4"/>
      <c r="B202" s="6"/>
      <c r="C202" s="4"/>
      <c r="D202" s="6"/>
      <c r="E202" s="4"/>
      <c r="F202" s="6"/>
      <c r="G202" s="6"/>
      <c r="H202" s="4"/>
      <c r="I202" s="11" t="str">
        <f>IF(A202="",IF(COUNTA(B202:H202)&gt;0,"MISSING ID",""),IF(COUNTIFS($A$6:$A$205,A202)&lt;&gt;1,"DUPLICATE ID",IF(AND(C202&lt;&gt;"INITIAL",C202&lt;&gt;"RECON",C202&lt;&gt;"HEARING"),"UNKNOWN STAGE",IF(OR(NOT(ISNUMBER(B202)),B202&gt;Assumptions!$B$5),"INVALID SNAPSHOT",IF(OR(NOT(ISNUMBER(D202)),D202&gt;Assumptions!$B$5),"MISSING / FUTURE START",IF(COUNTIFS(Benchmarks!$A$6:$A$164,E202)&lt;&gt;1,"UNKNOWN OFFICE",IF(AND(F202&lt;&gt;"",OR(NOT(ISNUMBER(F202)),C202&lt;&gt;"HEARING")),"INVALID SCHEDULE",IF(AND(G202&lt;&gt;"",OR(NOT(ISNUMBER(G202)),G202&lt;Assumptions!$B$5)),"INVALID REVIEW DATE",IF(AND(F202&lt;&gt;"",F202&lt;Assumptions!$B$5,G202=""),"STALE SCHEDULE","OK")))))))))</f>
        <v/>
      </c>
    </row>
    <row r="203" spans="1:9" ht="22" customHeight="1">
      <c r="A203" s="4"/>
      <c r="B203" s="6"/>
      <c r="C203" s="4"/>
      <c r="D203" s="6"/>
      <c r="E203" s="4"/>
      <c r="F203" s="6"/>
      <c r="G203" s="6"/>
      <c r="H203" s="4"/>
      <c r="I203" s="11" t="str">
        <f>IF(A203="",IF(COUNTA(B203:H203)&gt;0,"MISSING ID",""),IF(COUNTIFS($A$6:$A$205,A203)&lt;&gt;1,"DUPLICATE ID",IF(AND(C203&lt;&gt;"INITIAL",C203&lt;&gt;"RECON",C203&lt;&gt;"HEARING"),"UNKNOWN STAGE",IF(OR(NOT(ISNUMBER(B203)),B203&gt;Assumptions!$B$5),"INVALID SNAPSHOT",IF(OR(NOT(ISNUMBER(D203)),D203&gt;Assumptions!$B$5),"MISSING / FUTURE START",IF(COUNTIFS(Benchmarks!$A$6:$A$164,E203)&lt;&gt;1,"UNKNOWN OFFICE",IF(AND(F203&lt;&gt;"",OR(NOT(ISNUMBER(F203)),C203&lt;&gt;"HEARING")),"INVALID SCHEDULE",IF(AND(G203&lt;&gt;"",OR(NOT(ISNUMBER(G203)),G203&lt;Assumptions!$B$5)),"INVALID REVIEW DATE",IF(AND(F203&lt;&gt;"",F203&lt;Assumptions!$B$5,G203=""),"STALE SCHEDULE","OK")))))))))</f>
        <v/>
      </c>
    </row>
    <row r="204" spans="1:9" ht="22" customHeight="1">
      <c r="A204" s="4"/>
      <c r="B204" s="6"/>
      <c r="C204" s="4"/>
      <c r="D204" s="6"/>
      <c r="E204" s="4"/>
      <c r="F204" s="6"/>
      <c r="G204" s="6"/>
      <c r="H204" s="4"/>
      <c r="I204" s="11" t="str">
        <f>IF(A204="",IF(COUNTA(B204:H204)&gt;0,"MISSING ID",""),IF(COUNTIFS($A$6:$A$205,A204)&lt;&gt;1,"DUPLICATE ID",IF(AND(C204&lt;&gt;"INITIAL",C204&lt;&gt;"RECON",C204&lt;&gt;"HEARING"),"UNKNOWN STAGE",IF(OR(NOT(ISNUMBER(B204)),B204&gt;Assumptions!$B$5),"INVALID SNAPSHOT",IF(OR(NOT(ISNUMBER(D204)),D204&gt;Assumptions!$B$5),"MISSING / FUTURE START",IF(COUNTIFS(Benchmarks!$A$6:$A$164,E204)&lt;&gt;1,"UNKNOWN OFFICE",IF(AND(F204&lt;&gt;"",OR(NOT(ISNUMBER(F204)),C204&lt;&gt;"HEARING")),"INVALID SCHEDULE",IF(AND(G204&lt;&gt;"",OR(NOT(ISNUMBER(G204)),G204&lt;Assumptions!$B$5)),"INVALID REVIEW DATE",IF(AND(F204&lt;&gt;"",F204&lt;Assumptions!$B$5,G204=""),"STALE SCHEDULE","OK")))))))))</f>
        <v/>
      </c>
    </row>
    <row r="205" spans="1:9" ht="22" customHeight="1">
      <c r="A205" s="4"/>
      <c r="B205" s="6"/>
      <c r="C205" s="4"/>
      <c r="D205" s="6"/>
      <c r="E205" s="4"/>
      <c r="F205" s="6"/>
      <c r="G205" s="6"/>
      <c r="H205" s="4"/>
      <c r="I205" s="11" t="str">
        <f>IF(A205="",IF(COUNTA(B205:H205)&gt;0,"MISSING ID",""),IF(COUNTIFS($A$6:$A$205,A205)&lt;&gt;1,"DUPLICATE ID",IF(AND(C205&lt;&gt;"INITIAL",C205&lt;&gt;"RECON",C205&lt;&gt;"HEARING"),"UNKNOWN STAGE",IF(OR(NOT(ISNUMBER(B205)),B205&gt;Assumptions!$B$5),"INVALID SNAPSHOT",IF(OR(NOT(ISNUMBER(D205)),D205&gt;Assumptions!$B$5),"MISSING / FUTURE START",IF(COUNTIFS(Benchmarks!$A$6:$A$164,E205)&lt;&gt;1,"UNKNOWN OFFICE",IF(AND(F205&lt;&gt;"",OR(NOT(ISNUMBER(F205)),C205&lt;&gt;"HEARING")),"INVALID SCHEDULE",IF(AND(G205&lt;&gt;"",OR(NOT(ISNUMBER(G205)),G205&lt;Assumptions!$B$5)),"INVALID REVIEW DATE",IF(AND(F205&lt;&gt;"",F205&lt;Assumptions!$B$5,G205=""),"STALE SCHEDULE","OK")))))))))</f>
        <v/>
      </c>
    </row>
    <row r="206" spans="1:9" ht="22" customHeight="1">
      <c r="A206" s="1"/>
      <c r="B206" s="1"/>
      <c r="C206" s="1"/>
      <c r="D206" s="1"/>
      <c r="E206" s="1"/>
      <c r="F206" s="1"/>
      <c r="G206" s="1"/>
      <c r="H206" s="1"/>
      <c r="I206" s="1"/>
    </row>
    <row r="207" spans="1:9" ht="22" customHeight="1">
      <c r="A207" s="1"/>
      <c r="B207" s="1"/>
      <c r="C207" s="1"/>
      <c r="D207" s="1"/>
      <c r="E207" s="1"/>
      <c r="F207" s="1"/>
      <c r="G207" s="1"/>
      <c r="H207" s="1"/>
      <c r="I207" s="1"/>
    </row>
    <row r="208" spans="1:9" ht="22" customHeight="1">
      <c r="A208" s="1" t="s">
        <v>264</v>
      </c>
      <c r="B208" s="1"/>
      <c r="C208" s="1"/>
      <c r="D208" s="1"/>
      <c r="E208" s="1"/>
      <c r="F208" s="1"/>
      <c r="G208" s="1"/>
      <c r="H208" s="1"/>
      <c r="I208" s="1"/>
    </row>
    <row r="209" spans="1:9" ht="22" customHeight="1">
      <c r="A209" s="1"/>
      <c r="B209" s="1"/>
      <c r="C209" s="1"/>
      <c r="D209" s="1"/>
      <c r="E209" s="1"/>
      <c r="F209" s="1"/>
      <c r="G209" s="1"/>
      <c r="H209" s="1"/>
      <c r="I209" s="1"/>
    </row>
    <row r="210" spans="1:9" ht="22" customHeight="1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22" customHeight="1">
      <c r="A211" s="1"/>
      <c r="B211" s="1"/>
      <c r="C211" s="1"/>
      <c r="D211" s="1"/>
      <c r="E211" s="1"/>
      <c r="F211" s="1"/>
      <c r="G211" s="1"/>
      <c r="H211" s="1"/>
      <c r="I211" s="1"/>
    </row>
  </sheetData>
  <mergeCells count="1">
    <mergeCell ref="A3:I3"/>
  </mergeCells>
  <conditionalFormatting sqref="I6:I205">
    <cfRule type="cellIs" dxfId="1" priority="1" operator="notEqual">
      <formula>"OK"</formula>
    </cfRule>
  </conditionalFormatting>
  <dataValidations count="1">
    <dataValidation type="list" sqref="C6:C205" xr:uid="{00000000-0002-0000-0600-000000000000}">
      <formula1>"INITIAL,RECON,HEARING"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BD5DF"/>
  </sheetPr>
  <dimension ref="A1:O311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4"/>
  <cols>
    <col min="1" max="1" width="23" customWidth="1"/>
    <col min="2" max="7" width="17" customWidth="1"/>
    <col min="8" max="8" width="30" customWidth="1"/>
    <col min="9" max="9" width="23" customWidth="1"/>
    <col min="10" max="15" width="17" customWidth="1"/>
  </cols>
  <sheetData>
    <row r="1" spans="1:15" ht="2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2" customHeight="1">
      <c r="A2" s="2" t="s">
        <v>265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5" customHeight="1">
      <c r="A3" s="32" t="s">
        <v>266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2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2" customHeight="1">
      <c r="A5" s="3" t="s">
        <v>267</v>
      </c>
      <c r="B5" s="3" t="s">
        <v>155</v>
      </c>
      <c r="C5" s="3" t="s">
        <v>268</v>
      </c>
      <c r="D5" s="3" t="s">
        <v>269</v>
      </c>
      <c r="E5" s="3" t="s">
        <v>270</v>
      </c>
      <c r="F5" s="3" t="s">
        <v>271</v>
      </c>
      <c r="G5" s="3" t="s">
        <v>272</v>
      </c>
      <c r="H5" s="3" t="s">
        <v>160</v>
      </c>
      <c r="I5" s="3" t="s">
        <v>161</v>
      </c>
      <c r="J5" s="1"/>
      <c r="K5" s="13" t="s">
        <v>273</v>
      </c>
      <c r="L5" s="13" t="s">
        <v>274</v>
      </c>
      <c r="M5" s="13" t="s">
        <v>275</v>
      </c>
      <c r="N5" s="13" t="s">
        <v>58</v>
      </c>
      <c r="O5" s="13" t="s">
        <v>59</v>
      </c>
    </row>
    <row r="6" spans="1:15" ht="32" customHeight="1">
      <c r="A6" s="4" t="s">
        <v>276</v>
      </c>
      <c r="B6" s="4" t="s">
        <v>62</v>
      </c>
      <c r="C6" s="6">
        <v>45689</v>
      </c>
      <c r="D6" s="4" t="s">
        <v>277</v>
      </c>
      <c r="E6" s="12">
        <v>2000</v>
      </c>
      <c r="F6" s="6">
        <v>45962</v>
      </c>
      <c r="G6" s="4" t="s">
        <v>278</v>
      </c>
      <c r="H6" s="14" t="s">
        <v>279</v>
      </c>
      <c r="I6" s="11" t="str">
        <f>IF(A6="",IF(COUNTA(B6:H6)&gt;0,"MISSING ID",""),IF(COUNTIFS($A$6:$A$305,A6,$B$6:$B$305,B6)&lt;&gt;1,"DUPLICATE CASE/STAGE",IF(AND(B6&lt;&gt;"INITIAL",B6&lt;&gt;"RECON",B6&lt;&gt;"HEARING"),"UNKNOWN STAGE",IF(OR(NOT(ISNUMBER(C6)),C6&gt;Assumptions!$B$5,NOT(ISNUMBER(F6)),F6&lt;C6,F6&gt;Assumptions!$B$5),"INVALID DATES",IF(AND(D6&lt;&gt;"FAVORABLE",D6&lt;&gt;"OTHER"),"UNKNOWN OUTCOME",IF(OR(NOT(ISNUMBER(E6)),E6&lt;0,G6&lt;&gt;"YES"),"INCOMPLETE FEES","OK"))))))</f>
        <v>OK</v>
      </c>
      <c r="J6" s="1"/>
      <c r="K6" s="1" t="s">
        <v>62</v>
      </c>
      <c r="L6" s="1">
        <f>COUNTIFS($B$6:$B$305,K6,$I$6:$I$305,"OK")</f>
        <v>20</v>
      </c>
      <c r="M6" s="1">
        <f>COUNTIFS($B$6:$B$305,K6,$I$6:$I$305,"OK",$D$6:$D$305,"FAVORABLE")</f>
        <v>3</v>
      </c>
      <c r="N6" s="8">
        <f>IF(L6=0,"n.a.",M6/L6)</f>
        <v>0.15</v>
      </c>
      <c r="O6" s="10">
        <f>IF(M6=0,"n.a.",SUMIFS($E$6:$E$305,$B$6:$B$305,K6,$I$6:$I$305,"OK",$D$6:$D$305,"FAVORABLE")/M6)</f>
        <v>2000</v>
      </c>
    </row>
    <row r="7" spans="1:15" ht="32" customHeight="1">
      <c r="A7" s="4" t="s">
        <v>280</v>
      </c>
      <c r="B7" s="4" t="s">
        <v>62</v>
      </c>
      <c r="C7" s="6">
        <v>45689</v>
      </c>
      <c r="D7" s="4" t="s">
        <v>277</v>
      </c>
      <c r="E7" s="12">
        <v>2000</v>
      </c>
      <c r="F7" s="6">
        <v>45962</v>
      </c>
      <c r="G7" s="4" t="s">
        <v>278</v>
      </c>
      <c r="H7" s="14" t="s">
        <v>279</v>
      </c>
      <c r="I7" s="11" t="str">
        <f>IF(A7="",IF(COUNTA(B7:H7)&gt;0,"MISSING ID",""),IF(COUNTIFS($A$6:$A$305,A7,$B$6:$B$305,B7)&lt;&gt;1,"DUPLICATE CASE/STAGE",IF(AND(B7&lt;&gt;"INITIAL",B7&lt;&gt;"RECON",B7&lt;&gt;"HEARING"),"UNKNOWN STAGE",IF(OR(NOT(ISNUMBER(C7)),C7&gt;Assumptions!$B$5,NOT(ISNUMBER(F7)),F7&lt;C7,F7&gt;Assumptions!$B$5),"INVALID DATES",IF(AND(D7&lt;&gt;"FAVORABLE",D7&lt;&gt;"OTHER"),"UNKNOWN OUTCOME",IF(OR(NOT(ISNUMBER(E7)),E7&lt;0,G7&lt;&gt;"YES"),"INCOMPLETE FEES","OK"))))))</f>
        <v>OK</v>
      </c>
      <c r="J7" s="1"/>
      <c r="K7" s="1" t="s">
        <v>63</v>
      </c>
      <c r="L7" s="1">
        <f>COUNTIFS($B$6:$B$305,K7,$I$6:$I$305,"OK")</f>
        <v>20</v>
      </c>
      <c r="M7" s="1">
        <f>COUNTIFS($B$6:$B$305,K7,$I$6:$I$305,"OK",$D$6:$D$305,"FAVORABLE")</f>
        <v>4</v>
      </c>
      <c r="N7" s="8">
        <f>IF(L7=0,"n.a.",M7/L7)</f>
        <v>0.2</v>
      </c>
      <c r="O7" s="10">
        <f>IF(M7=0,"n.a.",SUMIFS($E$6:$E$305,$B$6:$B$305,K7,$I$6:$I$305,"OK",$D$6:$D$305,"FAVORABLE")/M7)</f>
        <v>3000</v>
      </c>
    </row>
    <row r="8" spans="1:15" ht="32" customHeight="1">
      <c r="A8" s="4" t="s">
        <v>281</v>
      </c>
      <c r="B8" s="4" t="s">
        <v>62</v>
      </c>
      <c r="C8" s="6">
        <v>45689</v>
      </c>
      <c r="D8" s="4" t="s">
        <v>277</v>
      </c>
      <c r="E8" s="12">
        <v>2000</v>
      </c>
      <c r="F8" s="6">
        <v>45962</v>
      </c>
      <c r="G8" s="4" t="s">
        <v>278</v>
      </c>
      <c r="H8" s="14" t="s">
        <v>279</v>
      </c>
      <c r="I8" s="11" t="str">
        <f>IF(A8="",IF(COUNTA(B8:H8)&gt;0,"MISSING ID",""),IF(COUNTIFS($A$6:$A$305,A8,$B$6:$B$305,B8)&lt;&gt;1,"DUPLICATE CASE/STAGE",IF(AND(B8&lt;&gt;"INITIAL",B8&lt;&gt;"RECON",B8&lt;&gt;"HEARING"),"UNKNOWN STAGE",IF(OR(NOT(ISNUMBER(C8)),C8&gt;Assumptions!$B$5,NOT(ISNUMBER(F8)),F8&lt;C8,F8&gt;Assumptions!$B$5),"INVALID DATES",IF(AND(D8&lt;&gt;"FAVORABLE",D8&lt;&gt;"OTHER"),"UNKNOWN OUTCOME",IF(OR(NOT(ISNUMBER(E8)),E8&lt;0,G8&lt;&gt;"YES"),"INCOMPLETE FEES","OK"))))))</f>
        <v>OK</v>
      </c>
      <c r="J8" s="1"/>
      <c r="K8" s="1" t="s">
        <v>64</v>
      </c>
      <c r="L8" s="1">
        <f>COUNTIFS($B$6:$B$305,K8,$I$6:$I$305,"OK")</f>
        <v>20</v>
      </c>
      <c r="M8" s="1">
        <f>COUNTIFS($B$6:$B$305,K8,$I$6:$I$305,"OK",$D$6:$D$305,"FAVORABLE")</f>
        <v>11</v>
      </c>
      <c r="N8" s="8">
        <f>IF(L8=0,"n.a.",M8/L8)</f>
        <v>0.55000000000000004</v>
      </c>
      <c r="O8" s="10">
        <f>IF(M8=0,"n.a.",SUMIFS($E$6:$E$305,$B$6:$B$305,K8,$I$6:$I$305,"OK",$D$6:$D$305,"FAVORABLE")/M8)</f>
        <v>4500</v>
      </c>
    </row>
    <row r="9" spans="1:15" ht="32" customHeight="1">
      <c r="A9" s="4" t="s">
        <v>282</v>
      </c>
      <c r="B9" s="4" t="s">
        <v>62</v>
      </c>
      <c r="C9" s="6">
        <v>45689</v>
      </c>
      <c r="D9" s="4" t="s">
        <v>283</v>
      </c>
      <c r="E9" s="12">
        <v>0</v>
      </c>
      <c r="F9" s="6">
        <v>45962</v>
      </c>
      <c r="G9" s="4" t="s">
        <v>278</v>
      </c>
      <c r="H9" s="14" t="s">
        <v>279</v>
      </c>
      <c r="I9" s="11" t="str">
        <f>IF(A9="",IF(COUNTA(B9:H9)&gt;0,"MISSING ID",""),IF(COUNTIFS($A$6:$A$305,A9,$B$6:$B$305,B9)&lt;&gt;1,"DUPLICATE CASE/STAGE",IF(AND(B9&lt;&gt;"INITIAL",B9&lt;&gt;"RECON",B9&lt;&gt;"HEARING"),"UNKNOWN STAGE",IF(OR(NOT(ISNUMBER(C9)),C9&gt;Assumptions!$B$5,NOT(ISNUMBER(F9)),F9&lt;C9,F9&gt;Assumptions!$B$5),"INVALID DATES",IF(AND(D9&lt;&gt;"FAVORABLE",D9&lt;&gt;"OTHER"),"UNKNOWN OUTCOME",IF(OR(NOT(ISNUMBER(E9)),E9&lt;0,G9&lt;&gt;"YES"),"INCOMPLETE FEES","OK"))))))</f>
        <v>OK</v>
      </c>
      <c r="J9" s="1"/>
      <c r="K9" s="1"/>
      <c r="L9" s="1"/>
      <c r="M9" s="1"/>
      <c r="N9" s="1"/>
      <c r="O9" s="1"/>
    </row>
    <row r="10" spans="1:15" ht="32" customHeight="1">
      <c r="A10" s="4" t="s">
        <v>284</v>
      </c>
      <c r="B10" s="4" t="s">
        <v>62</v>
      </c>
      <c r="C10" s="6">
        <v>45689</v>
      </c>
      <c r="D10" s="4" t="s">
        <v>283</v>
      </c>
      <c r="E10" s="12">
        <v>0</v>
      </c>
      <c r="F10" s="6">
        <v>45962</v>
      </c>
      <c r="G10" s="4" t="s">
        <v>278</v>
      </c>
      <c r="H10" s="14" t="s">
        <v>279</v>
      </c>
      <c r="I10" s="11" t="str">
        <f>IF(A10="",IF(COUNTA(B10:H10)&gt;0,"MISSING ID",""),IF(COUNTIFS($A$6:$A$305,A10,$B$6:$B$305,B10)&lt;&gt;1,"DUPLICATE CASE/STAGE",IF(AND(B10&lt;&gt;"INITIAL",B10&lt;&gt;"RECON",B10&lt;&gt;"HEARING"),"UNKNOWN STAGE",IF(OR(NOT(ISNUMBER(C10)),C10&gt;Assumptions!$B$5,NOT(ISNUMBER(F10)),F10&lt;C10,F10&gt;Assumptions!$B$5),"INVALID DATES",IF(AND(D10&lt;&gt;"FAVORABLE",D10&lt;&gt;"OTHER"),"UNKNOWN OUTCOME",IF(OR(NOT(ISNUMBER(E10)),E10&lt;0,G10&lt;&gt;"YES"),"INCOMPLETE FEES","OK"))))))</f>
        <v>OK</v>
      </c>
      <c r="J10" s="1"/>
      <c r="K10" s="1"/>
      <c r="L10" s="1"/>
      <c r="M10" s="1"/>
      <c r="N10" s="1"/>
      <c r="O10" s="1"/>
    </row>
    <row r="11" spans="1:15" ht="32" customHeight="1">
      <c r="A11" s="4" t="s">
        <v>285</v>
      </c>
      <c r="B11" s="4" t="s">
        <v>62</v>
      </c>
      <c r="C11" s="6">
        <v>45689</v>
      </c>
      <c r="D11" s="4" t="s">
        <v>283</v>
      </c>
      <c r="E11" s="12">
        <v>0</v>
      </c>
      <c r="F11" s="6">
        <v>45962</v>
      </c>
      <c r="G11" s="4" t="s">
        <v>278</v>
      </c>
      <c r="H11" s="14" t="s">
        <v>279</v>
      </c>
      <c r="I11" s="11" t="str">
        <f>IF(A11="",IF(COUNTA(B11:H11)&gt;0,"MISSING ID",""),IF(COUNTIFS($A$6:$A$305,A11,$B$6:$B$305,B11)&lt;&gt;1,"DUPLICATE CASE/STAGE",IF(AND(B11&lt;&gt;"INITIAL",B11&lt;&gt;"RECON",B11&lt;&gt;"HEARING"),"UNKNOWN STAGE",IF(OR(NOT(ISNUMBER(C11)),C11&gt;Assumptions!$B$5,NOT(ISNUMBER(F11)),F11&lt;C11,F11&gt;Assumptions!$B$5),"INVALID DATES",IF(AND(D11&lt;&gt;"FAVORABLE",D11&lt;&gt;"OTHER"),"UNKNOWN OUTCOME",IF(OR(NOT(ISNUMBER(E11)),E11&lt;0,G11&lt;&gt;"YES"),"INCOMPLETE FEES","OK"))))))</f>
        <v>OK</v>
      </c>
      <c r="J11" s="1"/>
      <c r="K11" s="29" t="s">
        <v>286</v>
      </c>
      <c r="L11" s="29"/>
      <c r="M11" s="29"/>
      <c r="N11" s="29"/>
      <c r="O11" s="29"/>
    </row>
    <row r="12" spans="1:15" ht="32" customHeight="1">
      <c r="A12" s="4" t="s">
        <v>287</v>
      </c>
      <c r="B12" s="4" t="s">
        <v>62</v>
      </c>
      <c r="C12" s="6">
        <v>45689</v>
      </c>
      <c r="D12" s="4" t="s">
        <v>283</v>
      </c>
      <c r="E12" s="12">
        <v>0</v>
      </c>
      <c r="F12" s="6">
        <v>45962</v>
      </c>
      <c r="G12" s="4" t="s">
        <v>278</v>
      </c>
      <c r="H12" s="14" t="s">
        <v>279</v>
      </c>
      <c r="I12" s="11" t="str">
        <f>IF(A12="",IF(COUNTA(B12:H12)&gt;0,"MISSING ID",""),IF(COUNTIFS($A$6:$A$305,A12,$B$6:$B$305,B12)&lt;&gt;1,"DUPLICATE CASE/STAGE",IF(AND(B12&lt;&gt;"INITIAL",B12&lt;&gt;"RECON",B12&lt;&gt;"HEARING"),"UNKNOWN STAGE",IF(OR(NOT(ISNUMBER(C12)),C12&gt;Assumptions!$B$5,NOT(ISNUMBER(F12)),F12&lt;C12,F12&gt;Assumptions!$B$5),"INVALID DATES",IF(AND(D12&lt;&gt;"FAVORABLE",D12&lt;&gt;"OTHER"),"UNKNOWN OUTCOME",IF(OR(NOT(ISNUMBER(E12)),E12&lt;0,G12&lt;&gt;"YES"),"INCOMPLETE FEES","OK"))))))</f>
        <v>OK</v>
      </c>
      <c r="J12" s="1"/>
      <c r="K12" s="29"/>
      <c r="L12" s="29"/>
      <c r="M12" s="29"/>
      <c r="N12" s="29"/>
      <c r="O12" s="29"/>
    </row>
    <row r="13" spans="1:15" ht="32" customHeight="1">
      <c r="A13" s="4" t="s">
        <v>288</v>
      </c>
      <c r="B13" s="4" t="s">
        <v>62</v>
      </c>
      <c r="C13" s="6">
        <v>45689</v>
      </c>
      <c r="D13" s="4" t="s">
        <v>283</v>
      </c>
      <c r="E13" s="12">
        <v>0</v>
      </c>
      <c r="F13" s="6">
        <v>45962</v>
      </c>
      <c r="G13" s="4" t="s">
        <v>278</v>
      </c>
      <c r="H13" s="14" t="s">
        <v>279</v>
      </c>
      <c r="I13" s="11" t="str">
        <f>IF(A13="",IF(COUNTA(B13:H13)&gt;0,"MISSING ID",""),IF(COUNTIFS($A$6:$A$305,A13,$B$6:$B$305,B13)&lt;&gt;1,"DUPLICATE CASE/STAGE",IF(AND(B13&lt;&gt;"INITIAL",B13&lt;&gt;"RECON",B13&lt;&gt;"HEARING"),"UNKNOWN STAGE",IF(OR(NOT(ISNUMBER(C13)),C13&gt;Assumptions!$B$5,NOT(ISNUMBER(F13)),F13&lt;C13,F13&gt;Assumptions!$B$5),"INVALID DATES",IF(AND(D13&lt;&gt;"FAVORABLE",D13&lt;&gt;"OTHER"),"UNKNOWN OUTCOME",IF(OR(NOT(ISNUMBER(E13)),E13&lt;0,G13&lt;&gt;"YES"),"INCOMPLETE FEES","OK"))))))</f>
        <v>OK</v>
      </c>
      <c r="J13" s="1"/>
      <c r="K13" s="29"/>
      <c r="L13" s="29"/>
      <c r="M13" s="29"/>
      <c r="N13" s="29"/>
      <c r="O13" s="29"/>
    </row>
    <row r="14" spans="1:15" ht="32" customHeight="1">
      <c r="A14" s="4" t="s">
        <v>289</v>
      </c>
      <c r="B14" s="4" t="s">
        <v>62</v>
      </c>
      <c r="C14" s="6">
        <v>45689</v>
      </c>
      <c r="D14" s="4" t="s">
        <v>283</v>
      </c>
      <c r="E14" s="12">
        <v>0</v>
      </c>
      <c r="F14" s="6">
        <v>45962</v>
      </c>
      <c r="G14" s="4" t="s">
        <v>278</v>
      </c>
      <c r="H14" s="14" t="s">
        <v>279</v>
      </c>
      <c r="I14" s="11" t="str">
        <f>IF(A14="",IF(COUNTA(B14:H14)&gt;0,"MISSING ID",""),IF(COUNTIFS($A$6:$A$305,A14,$B$6:$B$305,B14)&lt;&gt;1,"DUPLICATE CASE/STAGE",IF(AND(B14&lt;&gt;"INITIAL",B14&lt;&gt;"RECON",B14&lt;&gt;"HEARING"),"UNKNOWN STAGE",IF(OR(NOT(ISNUMBER(C14)),C14&gt;Assumptions!$B$5,NOT(ISNUMBER(F14)),F14&lt;C14,F14&gt;Assumptions!$B$5),"INVALID DATES",IF(AND(D14&lt;&gt;"FAVORABLE",D14&lt;&gt;"OTHER"),"UNKNOWN OUTCOME",IF(OR(NOT(ISNUMBER(E14)),E14&lt;0,G14&lt;&gt;"YES"),"INCOMPLETE FEES","OK"))))))</f>
        <v>OK</v>
      </c>
      <c r="J14" s="1"/>
      <c r="K14" s="29"/>
      <c r="L14" s="29"/>
      <c r="M14" s="29"/>
      <c r="N14" s="29"/>
      <c r="O14" s="29"/>
    </row>
    <row r="15" spans="1:15" ht="32" customHeight="1">
      <c r="A15" s="4" t="s">
        <v>290</v>
      </c>
      <c r="B15" s="4" t="s">
        <v>62</v>
      </c>
      <c r="C15" s="6">
        <v>45689</v>
      </c>
      <c r="D15" s="4" t="s">
        <v>283</v>
      </c>
      <c r="E15" s="12">
        <v>0</v>
      </c>
      <c r="F15" s="6">
        <v>45962</v>
      </c>
      <c r="G15" s="4" t="s">
        <v>278</v>
      </c>
      <c r="H15" s="14" t="s">
        <v>279</v>
      </c>
      <c r="I15" s="11" t="str">
        <f>IF(A15="",IF(COUNTA(B15:H15)&gt;0,"MISSING ID",""),IF(COUNTIFS($A$6:$A$305,A15,$B$6:$B$305,B15)&lt;&gt;1,"DUPLICATE CASE/STAGE",IF(AND(B15&lt;&gt;"INITIAL",B15&lt;&gt;"RECON",B15&lt;&gt;"HEARING"),"UNKNOWN STAGE",IF(OR(NOT(ISNUMBER(C15)),C15&gt;Assumptions!$B$5,NOT(ISNUMBER(F15)),F15&lt;C15,F15&gt;Assumptions!$B$5),"INVALID DATES",IF(AND(D15&lt;&gt;"FAVORABLE",D15&lt;&gt;"OTHER"),"UNKNOWN OUTCOME",IF(OR(NOT(ISNUMBER(E15)),E15&lt;0,G15&lt;&gt;"YES"),"INCOMPLETE FEES","OK"))))))</f>
        <v>OK</v>
      </c>
      <c r="J15" s="1"/>
      <c r="K15" s="29"/>
      <c r="L15" s="29"/>
      <c r="M15" s="29"/>
      <c r="N15" s="29"/>
      <c r="O15" s="29"/>
    </row>
    <row r="16" spans="1:15" ht="32" customHeight="1">
      <c r="A16" s="4" t="s">
        <v>291</v>
      </c>
      <c r="B16" s="4" t="s">
        <v>62</v>
      </c>
      <c r="C16" s="6">
        <v>45689</v>
      </c>
      <c r="D16" s="4" t="s">
        <v>283</v>
      </c>
      <c r="E16" s="12">
        <v>0</v>
      </c>
      <c r="F16" s="6">
        <v>45962</v>
      </c>
      <c r="G16" s="4" t="s">
        <v>278</v>
      </c>
      <c r="H16" s="14" t="s">
        <v>279</v>
      </c>
      <c r="I16" s="11" t="str">
        <f>IF(A16="",IF(COUNTA(B16:H16)&gt;0,"MISSING ID",""),IF(COUNTIFS($A$6:$A$305,A16,$B$6:$B$305,B16)&lt;&gt;1,"DUPLICATE CASE/STAGE",IF(AND(B16&lt;&gt;"INITIAL",B16&lt;&gt;"RECON",B16&lt;&gt;"HEARING"),"UNKNOWN STAGE",IF(OR(NOT(ISNUMBER(C16)),C16&gt;Assumptions!$B$5,NOT(ISNUMBER(F16)),F16&lt;C16,F16&gt;Assumptions!$B$5),"INVALID DATES",IF(AND(D16&lt;&gt;"FAVORABLE",D16&lt;&gt;"OTHER"),"UNKNOWN OUTCOME",IF(OR(NOT(ISNUMBER(E16)),E16&lt;0,G16&lt;&gt;"YES"),"INCOMPLETE FEES","OK"))))))</f>
        <v>OK</v>
      </c>
      <c r="J16" s="1"/>
      <c r="K16" s="1"/>
      <c r="L16" s="1"/>
      <c r="M16" s="1"/>
      <c r="N16" s="1"/>
      <c r="O16" s="1"/>
    </row>
    <row r="17" spans="1:15" ht="32" customHeight="1">
      <c r="A17" s="4" t="s">
        <v>292</v>
      </c>
      <c r="B17" s="4" t="s">
        <v>62</v>
      </c>
      <c r="C17" s="6">
        <v>45689</v>
      </c>
      <c r="D17" s="4" t="s">
        <v>283</v>
      </c>
      <c r="E17" s="12">
        <v>0</v>
      </c>
      <c r="F17" s="6">
        <v>45962</v>
      </c>
      <c r="G17" s="4" t="s">
        <v>278</v>
      </c>
      <c r="H17" s="14" t="s">
        <v>279</v>
      </c>
      <c r="I17" s="11" t="str">
        <f>IF(A17="",IF(COUNTA(B17:H17)&gt;0,"MISSING ID",""),IF(COUNTIFS($A$6:$A$305,A17,$B$6:$B$305,B17)&lt;&gt;1,"DUPLICATE CASE/STAGE",IF(AND(B17&lt;&gt;"INITIAL",B17&lt;&gt;"RECON",B17&lt;&gt;"HEARING"),"UNKNOWN STAGE",IF(OR(NOT(ISNUMBER(C17)),C17&gt;Assumptions!$B$5,NOT(ISNUMBER(F17)),F17&lt;C17,F17&gt;Assumptions!$B$5),"INVALID DATES",IF(AND(D17&lt;&gt;"FAVORABLE",D17&lt;&gt;"OTHER"),"UNKNOWN OUTCOME",IF(OR(NOT(ISNUMBER(E17)),E17&lt;0,G17&lt;&gt;"YES"),"INCOMPLETE FEES","OK"))))))</f>
        <v>OK</v>
      </c>
      <c r="J17" s="1"/>
      <c r="K17" s="1"/>
      <c r="L17" s="1"/>
      <c r="M17" s="1"/>
      <c r="N17" s="1"/>
      <c r="O17" s="1"/>
    </row>
    <row r="18" spans="1:15" ht="32" customHeight="1">
      <c r="A18" s="4" t="s">
        <v>293</v>
      </c>
      <c r="B18" s="4" t="s">
        <v>62</v>
      </c>
      <c r="C18" s="6">
        <v>45689</v>
      </c>
      <c r="D18" s="4" t="s">
        <v>283</v>
      </c>
      <c r="E18" s="12">
        <v>0</v>
      </c>
      <c r="F18" s="6">
        <v>45962</v>
      </c>
      <c r="G18" s="4" t="s">
        <v>278</v>
      </c>
      <c r="H18" s="14" t="s">
        <v>279</v>
      </c>
      <c r="I18" s="11" t="str">
        <f>IF(A18="",IF(COUNTA(B18:H18)&gt;0,"MISSING ID",""),IF(COUNTIFS($A$6:$A$305,A18,$B$6:$B$305,B18)&lt;&gt;1,"DUPLICATE CASE/STAGE",IF(AND(B18&lt;&gt;"INITIAL",B18&lt;&gt;"RECON",B18&lt;&gt;"HEARING"),"UNKNOWN STAGE",IF(OR(NOT(ISNUMBER(C18)),C18&gt;Assumptions!$B$5,NOT(ISNUMBER(F18)),F18&lt;C18,F18&gt;Assumptions!$B$5),"INVALID DATES",IF(AND(D18&lt;&gt;"FAVORABLE",D18&lt;&gt;"OTHER"),"UNKNOWN OUTCOME",IF(OR(NOT(ISNUMBER(E18)),E18&lt;0,G18&lt;&gt;"YES"),"INCOMPLETE FEES","OK"))))))</f>
        <v>OK</v>
      </c>
      <c r="J18" s="1"/>
      <c r="K18" s="1"/>
      <c r="L18" s="1"/>
      <c r="M18" s="1"/>
      <c r="N18" s="1"/>
      <c r="O18" s="1"/>
    </row>
    <row r="19" spans="1:15" ht="32" customHeight="1">
      <c r="A19" s="4" t="s">
        <v>294</v>
      </c>
      <c r="B19" s="4" t="s">
        <v>62</v>
      </c>
      <c r="C19" s="6">
        <v>45689</v>
      </c>
      <c r="D19" s="4" t="s">
        <v>283</v>
      </c>
      <c r="E19" s="12">
        <v>0</v>
      </c>
      <c r="F19" s="6">
        <v>45962</v>
      </c>
      <c r="G19" s="4" t="s">
        <v>278</v>
      </c>
      <c r="H19" s="14" t="s">
        <v>279</v>
      </c>
      <c r="I19" s="11" t="str">
        <f>IF(A19="",IF(COUNTA(B19:H19)&gt;0,"MISSING ID",""),IF(COUNTIFS($A$6:$A$305,A19,$B$6:$B$305,B19)&lt;&gt;1,"DUPLICATE CASE/STAGE",IF(AND(B19&lt;&gt;"INITIAL",B19&lt;&gt;"RECON",B19&lt;&gt;"HEARING"),"UNKNOWN STAGE",IF(OR(NOT(ISNUMBER(C19)),C19&gt;Assumptions!$B$5,NOT(ISNUMBER(F19)),F19&lt;C19,F19&gt;Assumptions!$B$5),"INVALID DATES",IF(AND(D19&lt;&gt;"FAVORABLE",D19&lt;&gt;"OTHER"),"UNKNOWN OUTCOME",IF(OR(NOT(ISNUMBER(E19)),E19&lt;0,G19&lt;&gt;"YES"),"INCOMPLETE FEES","OK"))))))</f>
        <v>OK</v>
      </c>
      <c r="J19" s="1"/>
      <c r="K19" s="1"/>
      <c r="L19" s="1"/>
      <c r="M19" s="1"/>
      <c r="N19" s="1"/>
      <c r="O19" s="1"/>
    </row>
    <row r="20" spans="1:15" ht="32" customHeight="1">
      <c r="A20" s="4" t="s">
        <v>295</v>
      </c>
      <c r="B20" s="4" t="s">
        <v>62</v>
      </c>
      <c r="C20" s="6">
        <v>45689</v>
      </c>
      <c r="D20" s="4" t="s">
        <v>283</v>
      </c>
      <c r="E20" s="12">
        <v>0</v>
      </c>
      <c r="F20" s="6">
        <v>45962</v>
      </c>
      <c r="G20" s="4" t="s">
        <v>278</v>
      </c>
      <c r="H20" s="14" t="s">
        <v>279</v>
      </c>
      <c r="I20" s="11" t="str">
        <f>IF(A20="",IF(COUNTA(B20:H20)&gt;0,"MISSING ID",""),IF(COUNTIFS($A$6:$A$305,A20,$B$6:$B$305,B20)&lt;&gt;1,"DUPLICATE CASE/STAGE",IF(AND(B20&lt;&gt;"INITIAL",B20&lt;&gt;"RECON",B20&lt;&gt;"HEARING"),"UNKNOWN STAGE",IF(OR(NOT(ISNUMBER(C20)),C20&gt;Assumptions!$B$5,NOT(ISNUMBER(F20)),F20&lt;C20,F20&gt;Assumptions!$B$5),"INVALID DATES",IF(AND(D20&lt;&gt;"FAVORABLE",D20&lt;&gt;"OTHER"),"UNKNOWN OUTCOME",IF(OR(NOT(ISNUMBER(E20)),E20&lt;0,G20&lt;&gt;"YES"),"INCOMPLETE FEES","OK"))))))</f>
        <v>OK</v>
      </c>
      <c r="J20" s="1"/>
      <c r="K20" s="1"/>
      <c r="L20" s="1"/>
      <c r="M20" s="1"/>
      <c r="N20" s="1"/>
      <c r="O20" s="1"/>
    </row>
    <row r="21" spans="1:15" ht="32" customHeight="1">
      <c r="A21" s="4" t="s">
        <v>296</v>
      </c>
      <c r="B21" s="4" t="s">
        <v>62</v>
      </c>
      <c r="C21" s="6">
        <v>45689</v>
      </c>
      <c r="D21" s="4" t="s">
        <v>283</v>
      </c>
      <c r="E21" s="12">
        <v>0</v>
      </c>
      <c r="F21" s="6">
        <v>45962</v>
      </c>
      <c r="G21" s="4" t="s">
        <v>278</v>
      </c>
      <c r="H21" s="14" t="s">
        <v>279</v>
      </c>
      <c r="I21" s="11" t="str">
        <f>IF(A21="",IF(COUNTA(B21:H21)&gt;0,"MISSING ID",""),IF(COUNTIFS($A$6:$A$305,A21,$B$6:$B$305,B21)&lt;&gt;1,"DUPLICATE CASE/STAGE",IF(AND(B21&lt;&gt;"INITIAL",B21&lt;&gt;"RECON",B21&lt;&gt;"HEARING"),"UNKNOWN STAGE",IF(OR(NOT(ISNUMBER(C21)),C21&gt;Assumptions!$B$5,NOT(ISNUMBER(F21)),F21&lt;C21,F21&gt;Assumptions!$B$5),"INVALID DATES",IF(AND(D21&lt;&gt;"FAVORABLE",D21&lt;&gt;"OTHER"),"UNKNOWN OUTCOME",IF(OR(NOT(ISNUMBER(E21)),E21&lt;0,G21&lt;&gt;"YES"),"INCOMPLETE FEES","OK"))))))</f>
        <v>OK</v>
      </c>
      <c r="J21" s="1"/>
      <c r="K21" s="1"/>
      <c r="L21" s="1"/>
      <c r="M21" s="1"/>
      <c r="N21" s="1"/>
      <c r="O21" s="1"/>
    </row>
    <row r="22" spans="1:15" ht="32" customHeight="1">
      <c r="A22" s="4" t="s">
        <v>297</v>
      </c>
      <c r="B22" s="4" t="s">
        <v>62</v>
      </c>
      <c r="C22" s="6">
        <v>45689</v>
      </c>
      <c r="D22" s="4" t="s">
        <v>283</v>
      </c>
      <c r="E22" s="12">
        <v>0</v>
      </c>
      <c r="F22" s="6">
        <v>45962</v>
      </c>
      <c r="G22" s="4" t="s">
        <v>278</v>
      </c>
      <c r="H22" s="14" t="s">
        <v>279</v>
      </c>
      <c r="I22" s="11" t="str">
        <f>IF(A22="",IF(COUNTA(B22:H22)&gt;0,"MISSING ID",""),IF(COUNTIFS($A$6:$A$305,A22,$B$6:$B$305,B22)&lt;&gt;1,"DUPLICATE CASE/STAGE",IF(AND(B22&lt;&gt;"INITIAL",B22&lt;&gt;"RECON",B22&lt;&gt;"HEARING"),"UNKNOWN STAGE",IF(OR(NOT(ISNUMBER(C22)),C22&gt;Assumptions!$B$5,NOT(ISNUMBER(F22)),F22&lt;C22,F22&gt;Assumptions!$B$5),"INVALID DATES",IF(AND(D22&lt;&gt;"FAVORABLE",D22&lt;&gt;"OTHER"),"UNKNOWN OUTCOME",IF(OR(NOT(ISNUMBER(E22)),E22&lt;0,G22&lt;&gt;"YES"),"INCOMPLETE FEES","OK"))))))</f>
        <v>OK</v>
      </c>
      <c r="J22" s="1"/>
      <c r="K22" s="1"/>
      <c r="L22" s="1"/>
      <c r="M22" s="1"/>
      <c r="N22" s="1"/>
      <c r="O22" s="1"/>
    </row>
    <row r="23" spans="1:15" ht="32" customHeight="1">
      <c r="A23" s="4" t="s">
        <v>298</v>
      </c>
      <c r="B23" s="4" t="s">
        <v>62</v>
      </c>
      <c r="C23" s="6">
        <v>45689</v>
      </c>
      <c r="D23" s="4" t="s">
        <v>283</v>
      </c>
      <c r="E23" s="12">
        <v>0</v>
      </c>
      <c r="F23" s="6">
        <v>45962</v>
      </c>
      <c r="G23" s="4" t="s">
        <v>278</v>
      </c>
      <c r="H23" s="14" t="s">
        <v>279</v>
      </c>
      <c r="I23" s="11" t="str">
        <f>IF(A23="",IF(COUNTA(B23:H23)&gt;0,"MISSING ID",""),IF(COUNTIFS($A$6:$A$305,A23,$B$6:$B$305,B23)&lt;&gt;1,"DUPLICATE CASE/STAGE",IF(AND(B23&lt;&gt;"INITIAL",B23&lt;&gt;"RECON",B23&lt;&gt;"HEARING"),"UNKNOWN STAGE",IF(OR(NOT(ISNUMBER(C23)),C23&gt;Assumptions!$B$5,NOT(ISNUMBER(F23)),F23&lt;C23,F23&gt;Assumptions!$B$5),"INVALID DATES",IF(AND(D23&lt;&gt;"FAVORABLE",D23&lt;&gt;"OTHER"),"UNKNOWN OUTCOME",IF(OR(NOT(ISNUMBER(E23)),E23&lt;0,G23&lt;&gt;"YES"),"INCOMPLETE FEES","OK"))))))</f>
        <v>OK</v>
      </c>
      <c r="J23" s="1"/>
      <c r="K23" s="1"/>
      <c r="L23" s="1"/>
      <c r="M23" s="1"/>
      <c r="N23" s="1"/>
      <c r="O23" s="1"/>
    </row>
    <row r="24" spans="1:15" ht="32" customHeight="1">
      <c r="A24" s="4" t="s">
        <v>299</v>
      </c>
      <c r="B24" s="4" t="s">
        <v>62</v>
      </c>
      <c r="C24" s="6">
        <v>45689</v>
      </c>
      <c r="D24" s="4" t="s">
        <v>283</v>
      </c>
      <c r="E24" s="12">
        <v>0</v>
      </c>
      <c r="F24" s="6">
        <v>45962</v>
      </c>
      <c r="G24" s="4" t="s">
        <v>278</v>
      </c>
      <c r="H24" s="14" t="s">
        <v>279</v>
      </c>
      <c r="I24" s="11" t="str">
        <f>IF(A24="",IF(COUNTA(B24:H24)&gt;0,"MISSING ID",""),IF(COUNTIFS($A$6:$A$305,A24,$B$6:$B$305,B24)&lt;&gt;1,"DUPLICATE CASE/STAGE",IF(AND(B24&lt;&gt;"INITIAL",B24&lt;&gt;"RECON",B24&lt;&gt;"HEARING"),"UNKNOWN STAGE",IF(OR(NOT(ISNUMBER(C24)),C24&gt;Assumptions!$B$5,NOT(ISNUMBER(F24)),F24&lt;C24,F24&gt;Assumptions!$B$5),"INVALID DATES",IF(AND(D24&lt;&gt;"FAVORABLE",D24&lt;&gt;"OTHER"),"UNKNOWN OUTCOME",IF(OR(NOT(ISNUMBER(E24)),E24&lt;0,G24&lt;&gt;"YES"),"INCOMPLETE FEES","OK"))))))</f>
        <v>OK</v>
      </c>
      <c r="J24" s="1"/>
      <c r="K24" s="1"/>
      <c r="L24" s="1"/>
      <c r="M24" s="1"/>
      <c r="N24" s="1"/>
      <c r="O24" s="1"/>
    </row>
    <row r="25" spans="1:15" ht="32" customHeight="1">
      <c r="A25" s="4" t="s">
        <v>300</v>
      </c>
      <c r="B25" s="4" t="s">
        <v>62</v>
      </c>
      <c r="C25" s="6">
        <v>45689</v>
      </c>
      <c r="D25" s="4" t="s">
        <v>283</v>
      </c>
      <c r="E25" s="12">
        <v>0</v>
      </c>
      <c r="F25" s="6">
        <v>45962</v>
      </c>
      <c r="G25" s="4" t="s">
        <v>278</v>
      </c>
      <c r="H25" s="14" t="s">
        <v>279</v>
      </c>
      <c r="I25" s="11" t="str">
        <f>IF(A25="",IF(COUNTA(B25:H25)&gt;0,"MISSING ID",""),IF(COUNTIFS($A$6:$A$305,A25,$B$6:$B$305,B25)&lt;&gt;1,"DUPLICATE CASE/STAGE",IF(AND(B25&lt;&gt;"INITIAL",B25&lt;&gt;"RECON",B25&lt;&gt;"HEARING"),"UNKNOWN STAGE",IF(OR(NOT(ISNUMBER(C25)),C25&gt;Assumptions!$B$5,NOT(ISNUMBER(F25)),F25&lt;C25,F25&gt;Assumptions!$B$5),"INVALID DATES",IF(AND(D25&lt;&gt;"FAVORABLE",D25&lt;&gt;"OTHER"),"UNKNOWN OUTCOME",IF(OR(NOT(ISNUMBER(E25)),E25&lt;0,G25&lt;&gt;"YES"),"INCOMPLETE FEES","OK"))))))</f>
        <v>OK</v>
      </c>
      <c r="J25" s="1"/>
      <c r="K25" s="1"/>
      <c r="L25" s="1"/>
      <c r="M25" s="1"/>
      <c r="N25" s="1"/>
      <c r="O25" s="1"/>
    </row>
    <row r="26" spans="1:15" ht="32" customHeight="1">
      <c r="A26" s="4" t="s">
        <v>301</v>
      </c>
      <c r="B26" s="4" t="s">
        <v>63</v>
      </c>
      <c r="C26" s="6">
        <v>45689</v>
      </c>
      <c r="D26" s="4" t="s">
        <v>277</v>
      </c>
      <c r="E26" s="12">
        <v>3000</v>
      </c>
      <c r="F26" s="6">
        <v>45962</v>
      </c>
      <c r="G26" s="4" t="s">
        <v>278</v>
      </c>
      <c r="H26" s="14" t="s">
        <v>279</v>
      </c>
      <c r="I26" s="11" t="str">
        <f>IF(A26="",IF(COUNTA(B26:H26)&gt;0,"MISSING ID",""),IF(COUNTIFS($A$6:$A$305,A26,$B$6:$B$305,B26)&lt;&gt;1,"DUPLICATE CASE/STAGE",IF(AND(B26&lt;&gt;"INITIAL",B26&lt;&gt;"RECON",B26&lt;&gt;"HEARING"),"UNKNOWN STAGE",IF(OR(NOT(ISNUMBER(C26)),C26&gt;Assumptions!$B$5,NOT(ISNUMBER(F26)),F26&lt;C26,F26&gt;Assumptions!$B$5),"INVALID DATES",IF(AND(D26&lt;&gt;"FAVORABLE",D26&lt;&gt;"OTHER"),"UNKNOWN OUTCOME",IF(OR(NOT(ISNUMBER(E26)),E26&lt;0,G26&lt;&gt;"YES"),"INCOMPLETE FEES","OK"))))))</f>
        <v>OK</v>
      </c>
      <c r="J26" s="1"/>
      <c r="K26" s="1"/>
      <c r="L26" s="1"/>
      <c r="M26" s="1"/>
      <c r="N26" s="1"/>
      <c r="O26" s="1"/>
    </row>
    <row r="27" spans="1:15" ht="32" customHeight="1">
      <c r="A27" s="4" t="s">
        <v>302</v>
      </c>
      <c r="B27" s="4" t="s">
        <v>63</v>
      </c>
      <c r="C27" s="6">
        <v>45689</v>
      </c>
      <c r="D27" s="4" t="s">
        <v>277</v>
      </c>
      <c r="E27" s="12">
        <v>3000</v>
      </c>
      <c r="F27" s="6">
        <v>45962</v>
      </c>
      <c r="G27" s="4" t="s">
        <v>278</v>
      </c>
      <c r="H27" s="14" t="s">
        <v>279</v>
      </c>
      <c r="I27" s="11" t="str">
        <f>IF(A27="",IF(COUNTA(B27:H27)&gt;0,"MISSING ID",""),IF(COUNTIFS($A$6:$A$305,A27,$B$6:$B$305,B27)&lt;&gt;1,"DUPLICATE CASE/STAGE",IF(AND(B27&lt;&gt;"INITIAL",B27&lt;&gt;"RECON",B27&lt;&gt;"HEARING"),"UNKNOWN STAGE",IF(OR(NOT(ISNUMBER(C27)),C27&gt;Assumptions!$B$5,NOT(ISNUMBER(F27)),F27&lt;C27,F27&gt;Assumptions!$B$5),"INVALID DATES",IF(AND(D27&lt;&gt;"FAVORABLE",D27&lt;&gt;"OTHER"),"UNKNOWN OUTCOME",IF(OR(NOT(ISNUMBER(E27)),E27&lt;0,G27&lt;&gt;"YES"),"INCOMPLETE FEES","OK"))))))</f>
        <v>OK</v>
      </c>
      <c r="J27" s="1"/>
      <c r="K27" s="1"/>
      <c r="L27" s="1"/>
      <c r="M27" s="1"/>
      <c r="N27" s="1"/>
      <c r="O27" s="1"/>
    </row>
    <row r="28" spans="1:15" ht="32" customHeight="1">
      <c r="A28" s="4" t="s">
        <v>303</v>
      </c>
      <c r="B28" s="4" t="s">
        <v>63</v>
      </c>
      <c r="C28" s="6">
        <v>45689</v>
      </c>
      <c r="D28" s="4" t="s">
        <v>277</v>
      </c>
      <c r="E28" s="12">
        <v>3000</v>
      </c>
      <c r="F28" s="6">
        <v>45962</v>
      </c>
      <c r="G28" s="4" t="s">
        <v>278</v>
      </c>
      <c r="H28" s="14" t="s">
        <v>279</v>
      </c>
      <c r="I28" s="11" t="str">
        <f>IF(A28="",IF(COUNTA(B28:H28)&gt;0,"MISSING ID",""),IF(COUNTIFS($A$6:$A$305,A28,$B$6:$B$305,B28)&lt;&gt;1,"DUPLICATE CASE/STAGE",IF(AND(B28&lt;&gt;"INITIAL",B28&lt;&gt;"RECON",B28&lt;&gt;"HEARING"),"UNKNOWN STAGE",IF(OR(NOT(ISNUMBER(C28)),C28&gt;Assumptions!$B$5,NOT(ISNUMBER(F28)),F28&lt;C28,F28&gt;Assumptions!$B$5),"INVALID DATES",IF(AND(D28&lt;&gt;"FAVORABLE",D28&lt;&gt;"OTHER"),"UNKNOWN OUTCOME",IF(OR(NOT(ISNUMBER(E28)),E28&lt;0,G28&lt;&gt;"YES"),"INCOMPLETE FEES","OK"))))))</f>
        <v>OK</v>
      </c>
      <c r="J28" s="1"/>
      <c r="K28" s="1"/>
      <c r="L28" s="1"/>
      <c r="M28" s="1"/>
      <c r="N28" s="1"/>
      <c r="O28" s="1"/>
    </row>
    <row r="29" spans="1:15" ht="32" customHeight="1">
      <c r="A29" s="4" t="s">
        <v>304</v>
      </c>
      <c r="B29" s="4" t="s">
        <v>63</v>
      </c>
      <c r="C29" s="6">
        <v>45689</v>
      </c>
      <c r="D29" s="4" t="s">
        <v>277</v>
      </c>
      <c r="E29" s="12">
        <v>3000</v>
      </c>
      <c r="F29" s="6">
        <v>45962</v>
      </c>
      <c r="G29" s="4" t="s">
        <v>278</v>
      </c>
      <c r="H29" s="14" t="s">
        <v>279</v>
      </c>
      <c r="I29" s="11" t="str">
        <f>IF(A29="",IF(COUNTA(B29:H29)&gt;0,"MISSING ID",""),IF(COUNTIFS($A$6:$A$305,A29,$B$6:$B$305,B29)&lt;&gt;1,"DUPLICATE CASE/STAGE",IF(AND(B29&lt;&gt;"INITIAL",B29&lt;&gt;"RECON",B29&lt;&gt;"HEARING"),"UNKNOWN STAGE",IF(OR(NOT(ISNUMBER(C29)),C29&gt;Assumptions!$B$5,NOT(ISNUMBER(F29)),F29&lt;C29,F29&gt;Assumptions!$B$5),"INVALID DATES",IF(AND(D29&lt;&gt;"FAVORABLE",D29&lt;&gt;"OTHER"),"UNKNOWN OUTCOME",IF(OR(NOT(ISNUMBER(E29)),E29&lt;0,G29&lt;&gt;"YES"),"INCOMPLETE FEES","OK"))))))</f>
        <v>OK</v>
      </c>
      <c r="J29" s="1"/>
      <c r="K29" s="1"/>
      <c r="L29" s="1"/>
      <c r="M29" s="1"/>
      <c r="N29" s="1"/>
      <c r="O29" s="1"/>
    </row>
    <row r="30" spans="1:15" ht="32" customHeight="1">
      <c r="A30" s="4" t="s">
        <v>305</v>
      </c>
      <c r="B30" s="4" t="s">
        <v>63</v>
      </c>
      <c r="C30" s="6">
        <v>45689</v>
      </c>
      <c r="D30" s="4" t="s">
        <v>283</v>
      </c>
      <c r="E30" s="12">
        <v>0</v>
      </c>
      <c r="F30" s="6">
        <v>45962</v>
      </c>
      <c r="G30" s="4" t="s">
        <v>278</v>
      </c>
      <c r="H30" s="14" t="s">
        <v>279</v>
      </c>
      <c r="I30" s="11" t="str">
        <f>IF(A30="",IF(COUNTA(B30:H30)&gt;0,"MISSING ID",""),IF(COUNTIFS($A$6:$A$305,A30,$B$6:$B$305,B30)&lt;&gt;1,"DUPLICATE CASE/STAGE",IF(AND(B30&lt;&gt;"INITIAL",B30&lt;&gt;"RECON",B30&lt;&gt;"HEARING"),"UNKNOWN STAGE",IF(OR(NOT(ISNUMBER(C30)),C30&gt;Assumptions!$B$5,NOT(ISNUMBER(F30)),F30&lt;C30,F30&gt;Assumptions!$B$5),"INVALID DATES",IF(AND(D30&lt;&gt;"FAVORABLE",D30&lt;&gt;"OTHER"),"UNKNOWN OUTCOME",IF(OR(NOT(ISNUMBER(E30)),E30&lt;0,G30&lt;&gt;"YES"),"INCOMPLETE FEES","OK"))))))</f>
        <v>OK</v>
      </c>
      <c r="J30" s="1"/>
      <c r="K30" s="1"/>
      <c r="L30" s="1"/>
      <c r="M30" s="1"/>
      <c r="N30" s="1"/>
      <c r="O30" s="1"/>
    </row>
    <row r="31" spans="1:15" ht="32" customHeight="1">
      <c r="A31" s="4" t="s">
        <v>306</v>
      </c>
      <c r="B31" s="4" t="s">
        <v>63</v>
      </c>
      <c r="C31" s="6">
        <v>45689</v>
      </c>
      <c r="D31" s="4" t="s">
        <v>283</v>
      </c>
      <c r="E31" s="12">
        <v>0</v>
      </c>
      <c r="F31" s="6">
        <v>45962</v>
      </c>
      <c r="G31" s="4" t="s">
        <v>278</v>
      </c>
      <c r="H31" s="14" t="s">
        <v>279</v>
      </c>
      <c r="I31" s="11" t="str">
        <f>IF(A31="",IF(COUNTA(B31:H31)&gt;0,"MISSING ID",""),IF(COUNTIFS($A$6:$A$305,A31,$B$6:$B$305,B31)&lt;&gt;1,"DUPLICATE CASE/STAGE",IF(AND(B31&lt;&gt;"INITIAL",B31&lt;&gt;"RECON",B31&lt;&gt;"HEARING"),"UNKNOWN STAGE",IF(OR(NOT(ISNUMBER(C31)),C31&gt;Assumptions!$B$5,NOT(ISNUMBER(F31)),F31&lt;C31,F31&gt;Assumptions!$B$5),"INVALID DATES",IF(AND(D31&lt;&gt;"FAVORABLE",D31&lt;&gt;"OTHER"),"UNKNOWN OUTCOME",IF(OR(NOT(ISNUMBER(E31)),E31&lt;0,G31&lt;&gt;"YES"),"INCOMPLETE FEES","OK"))))))</f>
        <v>OK</v>
      </c>
      <c r="J31" s="1"/>
      <c r="K31" s="1"/>
      <c r="L31" s="1"/>
      <c r="M31" s="1"/>
      <c r="N31" s="1"/>
      <c r="O31" s="1"/>
    </row>
    <row r="32" spans="1:15" ht="32" customHeight="1">
      <c r="A32" s="4" t="s">
        <v>307</v>
      </c>
      <c r="B32" s="4" t="s">
        <v>63</v>
      </c>
      <c r="C32" s="6">
        <v>45689</v>
      </c>
      <c r="D32" s="4" t="s">
        <v>283</v>
      </c>
      <c r="E32" s="12">
        <v>0</v>
      </c>
      <c r="F32" s="6">
        <v>45962</v>
      </c>
      <c r="G32" s="4" t="s">
        <v>278</v>
      </c>
      <c r="H32" s="14" t="s">
        <v>279</v>
      </c>
      <c r="I32" s="11" t="str">
        <f>IF(A32="",IF(COUNTA(B32:H32)&gt;0,"MISSING ID",""),IF(COUNTIFS($A$6:$A$305,A32,$B$6:$B$305,B32)&lt;&gt;1,"DUPLICATE CASE/STAGE",IF(AND(B32&lt;&gt;"INITIAL",B32&lt;&gt;"RECON",B32&lt;&gt;"HEARING"),"UNKNOWN STAGE",IF(OR(NOT(ISNUMBER(C32)),C32&gt;Assumptions!$B$5,NOT(ISNUMBER(F32)),F32&lt;C32,F32&gt;Assumptions!$B$5),"INVALID DATES",IF(AND(D32&lt;&gt;"FAVORABLE",D32&lt;&gt;"OTHER"),"UNKNOWN OUTCOME",IF(OR(NOT(ISNUMBER(E32)),E32&lt;0,G32&lt;&gt;"YES"),"INCOMPLETE FEES","OK"))))))</f>
        <v>OK</v>
      </c>
      <c r="J32" s="1"/>
      <c r="K32" s="1"/>
      <c r="L32" s="1"/>
      <c r="M32" s="1"/>
      <c r="N32" s="1"/>
      <c r="O32" s="1"/>
    </row>
    <row r="33" spans="1:15" ht="32" customHeight="1">
      <c r="A33" s="4" t="s">
        <v>308</v>
      </c>
      <c r="B33" s="4" t="s">
        <v>63</v>
      </c>
      <c r="C33" s="6">
        <v>45689</v>
      </c>
      <c r="D33" s="4" t="s">
        <v>283</v>
      </c>
      <c r="E33" s="12">
        <v>0</v>
      </c>
      <c r="F33" s="6">
        <v>45962</v>
      </c>
      <c r="G33" s="4" t="s">
        <v>278</v>
      </c>
      <c r="H33" s="14" t="s">
        <v>279</v>
      </c>
      <c r="I33" s="11" t="str">
        <f>IF(A33="",IF(COUNTA(B33:H33)&gt;0,"MISSING ID",""),IF(COUNTIFS($A$6:$A$305,A33,$B$6:$B$305,B33)&lt;&gt;1,"DUPLICATE CASE/STAGE",IF(AND(B33&lt;&gt;"INITIAL",B33&lt;&gt;"RECON",B33&lt;&gt;"HEARING"),"UNKNOWN STAGE",IF(OR(NOT(ISNUMBER(C33)),C33&gt;Assumptions!$B$5,NOT(ISNUMBER(F33)),F33&lt;C33,F33&gt;Assumptions!$B$5),"INVALID DATES",IF(AND(D33&lt;&gt;"FAVORABLE",D33&lt;&gt;"OTHER"),"UNKNOWN OUTCOME",IF(OR(NOT(ISNUMBER(E33)),E33&lt;0,G33&lt;&gt;"YES"),"INCOMPLETE FEES","OK"))))))</f>
        <v>OK</v>
      </c>
      <c r="J33" s="1"/>
      <c r="K33" s="1"/>
      <c r="L33" s="1"/>
      <c r="M33" s="1"/>
      <c r="N33" s="1"/>
      <c r="O33" s="1"/>
    </row>
    <row r="34" spans="1:15" ht="32" customHeight="1">
      <c r="A34" s="4" t="s">
        <v>309</v>
      </c>
      <c r="B34" s="4" t="s">
        <v>63</v>
      </c>
      <c r="C34" s="6">
        <v>45689</v>
      </c>
      <c r="D34" s="4" t="s">
        <v>283</v>
      </c>
      <c r="E34" s="12">
        <v>0</v>
      </c>
      <c r="F34" s="6">
        <v>45962</v>
      </c>
      <c r="G34" s="4" t="s">
        <v>278</v>
      </c>
      <c r="H34" s="14" t="s">
        <v>279</v>
      </c>
      <c r="I34" s="11" t="str">
        <f>IF(A34="",IF(COUNTA(B34:H34)&gt;0,"MISSING ID",""),IF(COUNTIFS($A$6:$A$305,A34,$B$6:$B$305,B34)&lt;&gt;1,"DUPLICATE CASE/STAGE",IF(AND(B34&lt;&gt;"INITIAL",B34&lt;&gt;"RECON",B34&lt;&gt;"HEARING"),"UNKNOWN STAGE",IF(OR(NOT(ISNUMBER(C34)),C34&gt;Assumptions!$B$5,NOT(ISNUMBER(F34)),F34&lt;C34,F34&gt;Assumptions!$B$5),"INVALID DATES",IF(AND(D34&lt;&gt;"FAVORABLE",D34&lt;&gt;"OTHER"),"UNKNOWN OUTCOME",IF(OR(NOT(ISNUMBER(E34)),E34&lt;0,G34&lt;&gt;"YES"),"INCOMPLETE FEES","OK"))))))</f>
        <v>OK</v>
      </c>
      <c r="J34" s="1"/>
      <c r="K34" s="1"/>
      <c r="L34" s="1"/>
      <c r="M34" s="1"/>
      <c r="N34" s="1"/>
      <c r="O34" s="1"/>
    </row>
    <row r="35" spans="1:15" ht="32" customHeight="1">
      <c r="A35" s="4" t="s">
        <v>310</v>
      </c>
      <c r="B35" s="4" t="s">
        <v>63</v>
      </c>
      <c r="C35" s="6">
        <v>45689</v>
      </c>
      <c r="D35" s="4" t="s">
        <v>283</v>
      </c>
      <c r="E35" s="12">
        <v>0</v>
      </c>
      <c r="F35" s="6">
        <v>45962</v>
      </c>
      <c r="G35" s="4" t="s">
        <v>278</v>
      </c>
      <c r="H35" s="14" t="s">
        <v>279</v>
      </c>
      <c r="I35" s="11" t="str">
        <f>IF(A35="",IF(COUNTA(B35:H35)&gt;0,"MISSING ID",""),IF(COUNTIFS($A$6:$A$305,A35,$B$6:$B$305,B35)&lt;&gt;1,"DUPLICATE CASE/STAGE",IF(AND(B35&lt;&gt;"INITIAL",B35&lt;&gt;"RECON",B35&lt;&gt;"HEARING"),"UNKNOWN STAGE",IF(OR(NOT(ISNUMBER(C35)),C35&gt;Assumptions!$B$5,NOT(ISNUMBER(F35)),F35&lt;C35,F35&gt;Assumptions!$B$5),"INVALID DATES",IF(AND(D35&lt;&gt;"FAVORABLE",D35&lt;&gt;"OTHER"),"UNKNOWN OUTCOME",IF(OR(NOT(ISNUMBER(E35)),E35&lt;0,G35&lt;&gt;"YES"),"INCOMPLETE FEES","OK"))))))</f>
        <v>OK</v>
      </c>
      <c r="J35" s="1"/>
      <c r="K35" s="1"/>
      <c r="L35" s="1"/>
      <c r="M35" s="1"/>
      <c r="N35" s="1"/>
      <c r="O35" s="1"/>
    </row>
    <row r="36" spans="1:15" ht="32" customHeight="1">
      <c r="A36" s="4" t="s">
        <v>311</v>
      </c>
      <c r="B36" s="4" t="s">
        <v>63</v>
      </c>
      <c r="C36" s="6">
        <v>45689</v>
      </c>
      <c r="D36" s="4" t="s">
        <v>283</v>
      </c>
      <c r="E36" s="12">
        <v>0</v>
      </c>
      <c r="F36" s="6">
        <v>45962</v>
      </c>
      <c r="G36" s="4" t="s">
        <v>278</v>
      </c>
      <c r="H36" s="14" t="s">
        <v>279</v>
      </c>
      <c r="I36" s="11" t="str">
        <f>IF(A36="",IF(COUNTA(B36:H36)&gt;0,"MISSING ID",""),IF(COUNTIFS($A$6:$A$305,A36,$B$6:$B$305,B36)&lt;&gt;1,"DUPLICATE CASE/STAGE",IF(AND(B36&lt;&gt;"INITIAL",B36&lt;&gt;"RECON",B36&lt;&gt;"HEARING"),"UNKNOWN STAGE",IF(OR(NOT(ISNUMBER(C36)),C36&gt;Assumptions!$B$5,NOT(ISNUMBER(F36)),F36&lt;C36,F36&gt;Assumptions!$B$5),"INVALID DATES",IF(AND(D36&lt;&gt;"FAVORABLE",D36&lt;&gt;"OTHER"),"UNKNOWN OUTCOME",IF(OR(NOT(ISNUMBER(E36)),E36&lt;0,G36&lt;&gt;"YES"),"INCOMPLETE FEES","OK"))))))</f>
        <v>OK</v>
      </c>
      <c r="J36" s="1"/>
      <c r="K36" s="1"/>
      <c r="L36" s="1"/>
      <c r="M36" s="1"/>
      <c r="N36" s="1"/>
      <c r="O36" s="1"/>
    </row>
    <row r="37" spans="1:15" ht="32" customHeight="1">
      <c r="A37" s="4" t="s">
        <v>312</v>
      </c>
      <c r="B37" s="4" t="s">
        <v>63</v>
      </c>
      <c r="C37" s="6">
        <v>45689</v>
      </c>
      <c r="D37" s="4" t="s">
        <v>283</v>
      </c>
      <c r="E37" s="12">
        <v>0</v>
      </c>
      <c r="F37" s="6">
        <v>45962</v>
      </c>
      <c r="G37" s="4" t="s">
        <v>278</v>
      </c>
      <c r="H37" s="14" t="s">
        <v>279</v>
      </c>
      <c r="I37" s="11" t="str">
        <f>IF(A37="",IF(COUNTA(B37:H37)&gt;0,"MISSING ID",""),IF(COUNTIFS($A$6:$A$305,A37,$B$6:$B$305,B37)&lt;&gt;1,"DUPLICATE CASE/STAGE",IF(AND(B37&lt;&gt;"INITIAL",B37&lt;&gt;"RECON",B37&lt;&gt;"HEARING"),"UNKNOWN STAGE",IF(OR(NOT(ISNUMBER(C37)),C37&gt;Assumptions!$B$5,NOT(ISNUMBER(F37)),F37&lt;C37,F37&gt;Assumptions!$B$5),"INVALID DATES",IF(AND(D37&lt;&gt;"FAVORABLE",D37&lt;&gt;"OTHER"),"UNKNOWN OUTCOME",IF(OR(NOT(ISNUMBER(E37)),E37&lt;0,G37&lt;&gt;"YES"),"INCOMPLETE FEES","OK"))))))</f>
        <v>OK</v>
      </c>
      <c r="J37" s="1"/>
      <c r="K37" s="1"/>
      <c r="L37" s="1"/>
      <c r="M37" s="1"/>
      <c r="N37" s="1"/>
      <c r="O37" s="1"/>
    </row>
    <row r="38" spans="1:15" ht="32" customHeight="1">
      <c r="A38" s="4" t="s">
        <v>313</v>
      </c>
      <c r="B38" s="4" t="s">
        <v>63</v>
      </c>
      <c r="C38" s="6">
        <v>45689</v>
      </c>
      <c r="D38" s="4" t="s">
        <v>283</v>
      </c>
      <c r="E38" s="12">
        <v>0</v>
      </c>
      <c r="F38" s="6">
        <v>45962</v>
      </c>
      <c r="G38" s="4" t="s">
        <v>278</v>
      </c>
      <c r="H38" s="14" t="s">
        <v>279</v>
      </c>
      <c r="I38" s="11" t="str">
        <f>IF(A38="",IF(COUNTA(B38:H38)&gt;0,"MISSING ID",""),IF(COUNTIFS($A$6:$A$305,A38,$B$6:$B$305,B38)&lt;&gt;1,"DUPLICATE CASE/STAGE",IF(AND(B38&lt;&gt;"INITIAL",B38&lt;&gt;"RECON",B38&lt;&gt;"HEARING"),"UNKNOWN STAGE",IF(OR(NOT(ISNUMBER(C38)),C38&gt;Assumptions!$B$5,NOT(ISNUMBER(F38)),F38&lt;C38,F38&gt;Assumptions!$B$5),"INVALID DATES",IF(AND(D38&lt;&gt;"FAVORABLE",D38&lt;&gt;"OTHER"),"UNKNOWN OUTCOME",IF(OR(NOT(ISNUMBER(E38)),E38&lt;0,G38&lt;&gt;"YES"),"INCOMPLETE FEES","OK"))))))</f>
        <v>OK</v>
      </c>
      <c r="J38" s="1"/>
      <c r="K38" s="1"/>
      <c r="L38" s="1"/>
      <c r="M38" s="1"/>
      <c r="N38" s="1"/>
      <c r="O38" s="1"/>
    </row>
    <row r="39" spans="1:15" ht="32" customHeight="1">
      <c r="A39" s="4" t="s">
        <v>314</v>
      </c>
      <c r="B39" s="4" t="s">
        <v>63</v>
      </c>
      <c r="C39" s="6">
        <v>45689</v>
      </c>
      <c r="D39" s="4" t="s">
        <v>283</v>
      </c>
      <c r="E39" s="12">
        <v>0</v>
      </c>
      <c r="F39" s="6">
        <v>45962</v>
      </c>
      <c r="G39" s="4" t="s">
        <v>278</v>
      </c>
      <c r="H39" s="14" t="s">
        <v>279</v>
      </c>
      <c r="I39" s="11" t="str">
        <f>IF(A39="",IF(COUNTA(B39:H39)&gt;0,"MISSING ID",""),IF(COUNTIFS($A$6:$A$305,A39,$B$6:$B$305,B39)&lt;&gt;1,"DUPLICATE CASE/STAGE",IF(AND(B39&lt;&gt;"INITIAL",B39&lt;&gt;"RECON",B39&lt;&gt;"HEARING"),"UNKNOWN STAGE",IF(OR(NOT(ISNUMBER(C39)),C39&gt;Assumptions!$B$5,NOT(ISNUMBER(F39)),F39&lt;C39,F39&gt;Assumptions!$B$5),"INVALID DATES",IF(AND(D39&lt;&gt;"FAVORABLE",D39&lt;&gt;"OTHER"),"UNKNOWN OUTCOME",IF(OR(NOT(ISNUMBER(E39)),E39&lt;0,G39&lt;&gt;"YES"),"INCOMPLETE FEES","OK"))))))</f>
        <v>OK</v>
      </c>
      <c r="J39" s="1"/>
      <c r="K39" s="1"/>
      <c r="L39" s="1"/>
      <c r="M39" s="1"/>
      <c r="N39" s="1"/>
      <c r="O39" s="1"/>
    </row>
    <row r="40" spans="1:15" ht="32" customHeight="1">
      <c r="A40" s="4" t="s">
        <v>315</v>
      </c>
      <c r="B40" s="4" t="s">
        <v>63</v>
      </c>
      <c r="C40" s="6">
        <v>45689</v>
      </c>
      <c r="D40" s="4" t="s">
        <v>283</v>
      </c>
      <c r="E40" s="12">
        <v>0</v>
      </c>
      <c r="F40" s="6">
        <v>45962</v>
      </c>
      <c r="G40" s="4" t="s">
        <v>278</v>
      </c>
      <c r="H40" s="14" t="s">
        <v>279</v>
      </c>
      <c r="I40" s="11" t="str">
        <f>IF(A40="",IF(COUNTA(B40:H40)&gt;0,"MISSING ID",""),IF(COUNTIFS($A$6:$A$305,A40,$B$6:$B$305,B40)&lt;&gt;1,"DUPLICATE CASE/STAGE",IF(AND(B40&lt;&gt;"INITIAL",B40&lt;&gt;"RECON",B40&lt;&gt;"HEARING"),"UNKNOWN STAGE",IF(OR(NOT(ISNUMBER(C40)),C40&gt;Assumptions!$B$5,NOT(ISNUMBER(F40)),F40&lt;C40,F40&gt;Assumptions!$B$5),"INVALID DATES",IF(AND(D40&lt;&gt;"FAVORABLE",D40&lt;&gt;"OTHER"),"UNKNOWN OUTCOME",IF(OR(NOT(ISNUMBER(E40)),E40&lt;0,G40&lt;&gt;"YES"),"INCOMPLETE FEES","OK"))))))</f>
        <v>OK</v>
      </c>
      <c r="J40" s="1"/>
      <c r="K40" s="1"/>
      <c r="L40" s="1"/>
      <c r="M40" s="1"/>
      <c r="N40" s="1"/>
      <c r="O40" s="1"/>
    </row>
    <row r="41" spans="1:15" ht="32" customHeight="1">
      <c r="A41" s="4" t="s">
        <v>316</v>
      </c>
      <c r="B41" s="4" t="s">
        <v>63</v>
      </c>
      <c r="C41" s="6">
        <v>45689</v>
      </c>
      <c r="D41" s="4" t="s">
        <v>283</v>
      </c>
      <c r="E41" s="12">
        <v>0</v>
      </c>
      <c r="F41" s="6">
        <v>45962</v>
      </c>
      <c r="G41" s="4" t="s">
        <v>278</v>
      </c>
      <c r="H41" s="14" t="s">
        <v>279</v>
      </c>
      <c r="I41" s="11" t="str">
        <f>IF(A41="",IF(COUNTA(B41:H41)&gt;0,"MISSING ID",""),IF(COUNTIFS($A$6:$A$305,A41,$B$6:$B$305,B41)&lt;&gt;1,"DUPLICATE CASE/STAGE",IF(AND(B41&lt;&gt;"INITIAL",B41&lt;&gt;"RECON",B41&lt;&gt;"HEARING"),"UNKNOWN STAGE",IF(OR(NOT(ISNUMBER(C41)),C41&gt;Assumptions!$B$5,NOT(ISNUMBER(F41)),F41&lt;C41,F41&gt;Assumptions!$B$5),"INVALID DATES",IF(AND(D41&lt;&gt;"FAVORABLE",D41&lt;&gt;"OTHER"),"UNKNOWN OUTCOME",IF(OR(NOT(ISNUMBER(E41)),E41&lt;0,G41&lt;&gt;"YES"),"INCOMPLETE FEES","OK"))))))</f>
        <v>OK</v>
      </c>
      <c r="J41" s="1"/>
      <c r="K41" s="1"/>
      <c r="L41" s="1"/>
      <c r="M41" s="1"/>
      <c r="N41" s="1"/>
      <c r="O41" s="1"/>
    </row>
    <row r="42" spans="1:15" ht="32" customHeight="1">
      <c r="A42" s="4" t="s">
        <v>317</v>
      </c>
      <c r="B42" s="4" t="s">
        <v>63</v>
      </c>
      <c r="C42" s="6">
        <v>45689</v>
      </c>
      <c r="D42" s="4" t="s">
        <v>283</v>
      </c>
      <c r="E42" s="12">
        <v>0</v>
      </c>
      <c r="F42" s="6">
        <v>45962</v>
      </c>
      <c r="G42" s="4" t="s">
        <v>278</v>
      </c>
      <c r="H42" s="14" t="s">
        <v>279</v>
      </c>
      <c r="I42" s="11" t="str">
        <f>IF(A42="",IF(COUNTA(B42:H42)&gt;0,"MISSING ID",""),IF(COUNTIFS($A$6:$A$305,A42,$B$6:$B$305,B42)&lt;&gt;1,"DUPLICATE CASE/STAGE",IF(AND(B42&lt;&gt;"INITIAL",B42&lt;&gt;"RECON",B42&lt;&gt;"HEARING"),"UNKNOWN STAGE",IF(OR(NOT(ISNUMBER(C42)),C42&gt;Assumptions!$B$5,NOT(ISNUMBER(F42)),F42&lt;C42,F42&gt;Assumptions!$B$5),"INVALID DATES",IF(AND(D42&lt;&gt;"FAVORABLE",D42&lt;&gt;"OTHER"),"UNKNOWN OUTCOME",IF(OR(NOT(ISNUMBER(E42)),E42&lt;0,G42&lt;&gt;"YES"),"INCOMPLETE FEES","OK"))))))</f>
        <v>OK</v>
      </c>
      <c r="J42" s="1"/>
      <c r="K42" s="1"/>
      <c r="L42" s="1"/>
      <c r="M42" s="1"/>
      <c r="N42" s="1"/>
      <c r="O42" s="1"/>
    </row>
    <row r="43" spans="1:15" ht="32" customHeight="1">
      <c r="A43" s="4" t="s">
        <v>318</v>
      </c>
      <c r="B43" s="4" t="s">
        <v>63</v>
      </c>
      <c r="C43" s="6">
        <v>45689</v>
      </c>
      <c r="D43" s="4" t="s">
        <v>283</v>
      </c>
      <c r="E43" s="12">
        <v>0</v>
      </c>
      <c r="F43" s="6">
        <v>45962</v>
      </c>
      <c r="G43" s="4" t="s">
        <v>278</v>
      </c>
      <c r="H43" s="14" t="s">
        <v>279</v>
      </c>
      <c r="I43" s="11" t="str">
        <f>IF(A43="",IF(COUNTA(B43:H43)&gt;0,"MISSING ID",""),IF(COUNTIFS($A$6:$A$305,A43,$B$6:$B$305,B43)&lt;&gt;1,"DUPLICATE CASE/STAGE",IF(AND(B43&lt;&gt;"INITIAL",B43&lt;&gt;"RECON",B43&lt;&gt;"HEARING"),"UNKNOWN STAGE",IF(OR(NOT(ISNUMBER(C43)),C43&gt;Assumptions!$B$5,NOT(ISNUMBER(F43)),F43&lt;C43,F43&gt;Assumptions!$B$5),"INVALID DATES",IF(AND(D43&lt;&gt;"FAVORABLE",D43&lt;&gt;"OTHER"),"UNKNOWN OUTCOME",IF(OR(NOT(ISNUMBER(E43)),E43&lt;0,G43&lt;&gt;"YES"),"INCOMPLETE FEES","OK"))))))</f>
        <v>OK</v>
      </c>
      <c r="J43" s="1"/>
      <c r="K43" s="1"/>
      <c r="L43" s="1"/>
      <c r="M43" s="1"/>
      <c r="N43" s="1"/>
      <c r="O43" s="1"/>
    </row>
    <row r="44" spans="1:15" ht="32" customHeight="1">
      <c r="A44" s="4" t="s">
        <v>319</v>
      </c>
      <c r="B44" s="4" t="s">
        <v>63</v>
      </c>
      <c r="C44" s="6">
        <v>45689</v>
      </c>
      <c r="D44" s="4" t="s">
        <v>283</v>
      </c>
      <c r="E44" s="12">
        <v>0</v>
      </c>
      <c r="F44" s="6">
        <v>45962</v>
      </c>
      <c r="G44" s="4" t="s">
        <v>278</v>
      </c>
      <c r="H44" s="14" t="s">
        <v>279</v>
      </c>
      <c r="I44" s="11" t="str">
        <f>IF(A44="",IF(COUNTA(B44:H44)&gt;0,"MISSING ID",""),IF(COUNTIFS($A$6:$A$305,A44,$B$6:$B$305,B44)&lt;&gt;1,"DUPLICATE CASE/STAGE",IF(AND(B44&lt;&gt;"INITIAL",B44&lt;&gt;"RECON",B44&lt;&gt;"HEARING"),"UNKNOWN STAGE",IF(OR(NOT(ISNUMBER(C44)),C44&gt;Assumptions!$B$5,NOT(ISNUMBER(F44)),F44&lt;C44,F44&gt;Assumptions!$B$5),"INVALID DATES",IF(AND(D44&lt;&gt;"FAVORABLE",D44&lt;&gt;"OTHER"),"UNKNOWN OUTCOME",IF(OR(NOT(ISNUMBER(E44)),E44&lt;0,G44&lt;&gt;"YES"),"INCOMPLETE FEES","OK"))))))</f>
        <v>OK</v>
      </c>
      <c r="J44" s="1"/>
      <c r="K44" s="1"/>
      <c r="L44" s="1"/>
      <c r="M44" s="1"/>
      <c r="N44" s="1"/>
      <c r="O44" s="1"/>
    </row>
    <row r="45" spans="1:15" ht="32" customHeight="1">
      <c r="A45" s="4" t="s">
        <v>320</v>
      </c>
      <c r="B45" s="4" t="s">
        <v>63</v>
      </c>
      <c r="C45" s="6">
        <v>45689</v>
      </c>
      <c r="D45" s="4" t="s">
        <v>283</v>
      </c>
      <c r="E45" s="12">
        <v>0</v>
      </c>
      <c r="F45" s="6">
        <v>45962</v>
      </c>
      <c r="G45" s="4" t="s">
        <v>278</v>
      </c>
      <c r="H45" s="14" t="s">
        <v>279</v>
      </c>
      <c r="I45" s="11" t="str">
        <f>IF(A45="",IF(COUNTA(B45:H45)&gt;0,"MISSING ID",""),IF(COUNTIFS($A$6:$A$305,A45,$B$6:$B$305,B45)&lt;&gt;1,"DUPLICATE CASE/STAGE",IF(AND(B45&lt;&gt;"INITIAL",B45&lt;&gt;"RECON",B45&lt;&gt;"HEARING"),"UNKNOWN STAGE",IF(OR(NOT(ISNUMBER(C45)),C45&gt;Assumptions!$B$5,NOT(ISNUMBER(F45)),F45&lt;C45,F45&gt;Assumptions!$B$5),"INVALID DATES",IF(AND(D45&lt;&gt;"FAVORABLE",D45&lt;&gt;"OTHER"),"UNKNOWN OUTCOME",IF(OR(NOT(ISNUMBER(E45)),E45&lt;0,G45&lt;&gt;"YES"),"INCOMPLETE FEES","OK"))))))</f>
        <v>OK</v>
      </c>
      <c r="J45" s="1"/>
      <c r="K45" s="1"/>
      <c r="L45" s="1"/>
      <c r="M45" s="1"/>
      <c r="N45" s="1"/>
      <c r="O45" s="1"/>
    </row>
    <row r="46" spans="1:15" ht="32" customHeight="1">
      <c r="A46" s="4" t="s">
        <v>321</v>
      </c>
      <c r="B46" s="4" t="s">
        <v>64</v>
      </c>
      <c r="C46" s="6">
        <v>45689</v>
      </c>
      <c r="D46" s="4" t="s">
        <v>277</v>
      </c>
      <c r="E46" s="12">
        <v>4950</v>
      </c>
      <c r="F46" s="6">
        <v>45962</v>
      </c>
      <c r="G46" s="4" t="s">
        <v>278</v>
      </c>
      <c r="H46" s="14" t="s">
        <v>279</v>
      </c>
      <c r="I46" s="11" t="str">
        <f>IF(A46="",IF(COUNTA(B46:H46)&gt;0,"MISSING ID",""),IF(COUNTIFS($A$6:$A$305,A46,$B$6:$B$305,B46)&lt;&gt;1,"DUPLICATE CASE/STAGE",IF(AND(B46&lt;&gt;"INITIAL",B46&lt;&gt;"RECON",B46&lt;&gt;"HEARING"),"UNKNOWN STAGE",IF(OR(NOT(ISNUMBER(C46)),C46&gt;Assumptions!$B$5,NOT(ISNUMBER(F46)),F46&lt;C46,F46&gt;Assumptions!$B$5),"INVALID DATES",IF(AND(D46&lt;&gt;"FAVORABLE",D46&lt;&gt;"OTHER"),"UNKNOWN OUTCOME",IF(OR(NOT(ISNUMBER(E46)),E46&lt;0,G46&lt;&gt;"YES"),"INCOMPLETE FEES","OK"))))))</f>
        <v>OK</v>
      </c>
      <c r="J46" s="1"/>
      <c r="K46" s="1"/>
      <c r="L46" s="1"/>
      <c r="M46" s="1"/>
      <c r="N46" s="1"/>
      <c r="O46" s="1"/>
    </row>
    <row r="47" spans="1:15" ht="32" customHeight="1">
      <c r="A47" s="4" t="s">
        <v>322</v>
      </c>
      <c r="B47" s="4" t="s">
        <v>64</v>
      </c>
      <c r="C47" s="6">
        <v>45689</v>
      </c>
      <c r="D47" s="4" t="s">
        <v>277</v>
      </c>
      <c r="E47" s="12">
        <v>4950</v>
      </c>
      <c r="F47" s="6">
        <v>45962</v>
      </c>
      <c r="G47" s="4" t="s">
        <v>278</v>
      </c>
      <c r="H47" s="14" t="s">
        <v>279</v>
      </c>
      <c r="I47" s="11" t="str">
        <f>IF(A47="",IF(COUNTA(B47:H47)&gt;0,"MISSING ID",""),IF(COUNTIFS($A$6:$A$305,A47,$B$6:$B$305,B47)&lt;&gt;1,"DUPLICATE CASE/STAGE",IF(AND(B47&lt;&gt;"INITIAL",B47&lt;&gt;"RECON",B47&lt;&gt;"HEARING"),"UNKNOWN STAGE",IF(OR(NOT(ISNUMBER(C47)),C47&gt;Assumptions!$B$5,NOT(ISNUMBER(F47)),F47&lt;C47,F47&gt;Assumptions!$B$5),"INVALID DATES",IF(AND(D47&lt;&gt;"FAVORABLE",D47&lt;&gt;"OTHER"),"UNKNOWN OUTCOME",IF(OR(NOT(ISNUMBER(E47)),E47&lt;0,G47&lt;&gt;"YES"),"INCOMPLETE FEES","OK"))))))</f>
        <v>OK</v>
      </c>
      <c r="J47" s="1"/>
      <c r="K47" s="1"/>
      <c r="L47" s="1"/>
      <c r="M47" s="1"/>
      <c r="N47" s="1"/>
      <c r="O47" s="1"/>
    </row>
    <row r="48" spans="1:15" ht="32" customHeight="1">
      <c r="A48" s="4" t="s">
        <v>323</v>
      </c>
      <c r="B48" s="4" t="s">
        <v>64</v>
      </c>
      <c r="C48" s="6">
        <v>45689</v>
      </c>
      <c r="D48" s="4" t="s">
        <v>277</v>
      </c>
      <c r="E48" s="12">
        <v>4950</v>
      </c>
      <c r="F48" s="6">
        <v>45962</v>
      </c>
      <c r="G48" s="4" t="s">
        <v>278</v>
      </c>
      <c r="H48" s="14" t="s">
        <v>279</v>
      </c>
      <c r="I48" s="11" t="str">
        <f>IF(A48="",IF(COUNTA(B48:H48)&gt;0,"MISSING ID",""),IF(COUNTIFS($A$6:$A$305,A48,$B$6:$B$305,B48)&lt;&gt;1,"DUPLICATE CASE/STAGE",IF(AND(B48&lt;&gt;"INITIAL",B48&lt;&gt;"RECON",B48&lt;&gt;"HEARING"),"UNKNOWN STAGE",IF(OR(NOT(ISNUMBER(C48)),C48&gt;Assumptions!$B$5,NOT(ISNUMBER(F48)),F48&lt;C48,F48&gt;Assumptions!$B$5),"INVALID DATES",IF(AND(D48&lt;&gt;"FAVORABLE",D48&lt;&gt;"OTHER"),"UNKNOWN OUTCOME",IF(OR(NOT(ISNUMBER(E48)),E48&lt;0,G48&lt;&gt;"YES"),"INCOMPLETE FEES","OK"))))))</f>
        <v>OK</v>
      </c>
      <c r="J48" s="1"/>
      <c r="K48" s="1"/>
      <c r="L48" s="1"/>
      <c r="M48" s="1"/>
      <c r="N48" s="1"/>
      <c r="O48" s="1"/>
    </row>
    <row r="49" spans="1:15" ht="32" customHeight="1">
      <c r="A49" s="4" t="s">
        <v>324</v>
      </c>
      <c r="B49" s="4" t="s">
        <v>64</v>
      </c>
      <c r="C49" s="6">
        <v>45689</v>
      </c>
      <c r="D49" s="4" t="s">
        <v>277</v>
      </c>
      <c r="E49" s="12">
        <v>4950</v>
      </c>
      <c r="F49" s="6">
        <v>45962</v>
      </c>
      <c r="G49" s="4" t="s">
        <v>278</v>
      </c>
      <c r="H49" s="14" t="s">
        <v>279</v>
      </c>
      <c r="I49" s="11" t="str">
        <f>IF(A49="",IF(COUNTA(B49:H49)&gt;0,"MISSING ID",""),IF(COUNTIFS($A$6:$A$305,A49,$B$6:$B$305,B49)&lt;&gt;1,"DUPLICATE CASE/STAGE",IF(AND(B49&lt;&gt;"INITIAL",B49&lt;&gt;"RECON",B49&lt;&gt;"HEARING"),"UNKNOWN STAGE",IF(OR(NOT(ISNUMBER(C49)),C49&gt;Assumptions!$B$5,NOT(ISNUMBER(F49)),F49&lt;C49,F49&gt;Assumptions!$B$5),"INVALID DATES",IF(AND(D49&lt;&gt;"FAVORABLE",D49&lt;&gt;"OTHER"),"UNKNOWN OUTCOME",IF(OR(NOT(ISNUMBER(E49)),E49&lt;0,G49&lt;&gt;"YES"),"INCOMPLETE FEES","OK"))))))</f>
        <v>OK</v>
      </c>
      <c r="J49" s="1"/>
      <c r="K49" s="1"/>
      <c r="L49" s="1"/>
      <c r="M49" s="1"/>
      <c r="N49" s="1"/>
      <c r="O49" s="1"/>
    </row>
    <row r="50" spans="1:15" ht="32" customHeight="1">
      <c r="A50" s="4" t="s">
        <v>325</v>
      </c>
      <c r="B50" s="4" t="s">
        <v>64</v>
      </c>
      <c r="C50" s="6">
        <v>45689</v>
      </c>
      <c r="D50" s="4" t="s">
        <v>277</v>
      </c>
      <c r="E50" s="12">
        <v>4950</v>
      </c>
      <c r="F50" s="6">
        <v>45962</v>
      </c>
      <c r="G50" s="4" t="s">
        <v>278</v>
      </c>
      <c r="H50" s="14" t="s">
        <v>279</v>
      </c>
      <c r="I50" s="11" t="str">
        <f>IF(A50="",IF(COUNTA(B50:H50)&gt;0,"MISSING ID",""),IF(COUNTIFS($A$6:$A$305,A50,$B$6:$B$305,B50)&lt;&gt;1,"DUPLICATE CASE/STAGE",IF(AND(B50&lt;&gt;"INITIAL",B50&lt;&gt;"RECON",B50&lt;&gt;"HEARING"),"UNKNOWN STAGE",IF(OR(NOT(ISNUMBER(C50)),C50&gt;Assumptions!$B$5,NOT(ISNUMBER(F50)),F50&lt;C50,F50&gt;Assumptions!$B$5),"INVALID DATES",IF(AND(D50&lt;&gt;"FAVORABLE",D50&lt;&gt;"OTHER"),"UNKNOWN OUTCOME",IF(OR(NOT(ISNUMBER(E50)),E50&lt;0,G50&lt;&gt;"YES"),"INCOMPLETE FEES","OK"))))))</f>
        <v>OK</v>
      </c>
      <c r="J50" s="1"/>
      <c r="K50" s="1"/>
      <c r="L50" s="1"/>
      <c r="M50" s="1"/>
      <c r="N50" s="1"/>
      <c r="O50" s="1"/>
    </row>
    <row r="51" spans="1:15" ht="32" customHeight="1">
      <c r="A51" s="4" t="s">
        <v>326</v>
      </c>
      <c r="B51" s="4" t="s">
        <v>64</v>
      </c>
      <c r="C51" s="6">
        <v>45689</v>
      </c>
      <c r="D51" s="4" t="s">
        <v>277</v>
      </c>
      <c r="E51" s="12">
        <v>4950</v>
      </c>
      <c r="F51" s="6">
        <v>45962</v>
      </c>
      <c r="G51" s="4" t="s">
        <v>278</v>
      </c>
      <c r="H51" s="14" t="s">
        <v>279</v>
      </c>
      <c r="I51" s="11" t="str">
        <f>IF(A51="",IF(COUNTA(B51:H51)&gt;0,"MISSING ID",""),IF(COUNTIFS($A$6:$A$305,A51,$B$6:$B$305,B51)&lt;&gt;1,"DUPLICATE CASE/STAGE",IF(AND(B51&lt;&gt;"INITIAL",B51&lt;&gt;"RECON",B51&lt;&gt;"HEARING"),"UNKNOWN STAGE",IF(OR(NOT(ISNUMBER(C51)),C51&gt;Assumptions!$B$5,NOT(ISNUMBER(F51)),F51&lt;C51,F51&gt;Assumptions!$B$5),"INVALID DATES",IF(AND(D51&lt;&gt;"FAVORABLE",D51&lt;&gt;"OTHER"),"UNKNOWN OUTCOME",IF(OR(NOT(ISNUMBER(E51)),E51&lt;0,G51&lt;&gt;"YES"),"INCOMPLETE FEES","OK"))))))</f>
        <v>OK</v>
      </c>
      <c r="J51" s="1"/>
      <c r="K51" s="1"/>
      <c r="L51" s="1"/>
      <c r="M51" s="1"/>
      <c r="N51" s="1"/>
      <c r="O51" s="1"/>
    </row>
    <row r="52" spans="1:15" ht="32" customHeight="1">
      <c r="A52" s="4" t="s">
        <v>327</v>
      </c>
      <c r="B52" s="4" t="s">
        <v>64</v>
      </c>
      <c r="C52" s="6">
        <v>45689</v>
      </c>
      <c r="D52" s="4" t="s">
        <v>277</v>
      </c>
      <c r="E52" s="12">
        <v>4950</v>
      </c>
      <c r="F52" s="6">
        <v>45962</v>
      </c>
      <c r="G52" s="4" t="s">
        <v>278</v>
      </c>
      <c r="H52" s="14" t="s">
        <v>279</v>
      </c>
      <c r="I52" s="11" t="str">
        <f>IF(A52="",IF(COUNTA(B52:H52)&gt;0,"MISSING ID",""),IF(COUNTIFS($A$6:$A$305,A52,$B$6:$B$305,B52)&lt;&gt;1,"DUPLICATE CASE/STAGE",IF(AND(B52&lt;&gt;"INITIAL",B52&lt;&gt;"RECON",B52&lt;&gt;"HEARING"),"UNKNOWN STAGE",IF(OR(NOT(ISNUMBER(C52)),C52&gt;Assumptions!$B$5,NOT(ISNUMBER(F52)),F52&lt;C52,F52&gt;Assumptions!$B$5),"INVALID DATES",IF(AND(D52&lt;&gt;"FAVORABLE",D52&lt;&gt;"OTHER"),"UNKNOWN OUTCOME",IF(OR(NOT(ISNUMBER(E52)),E52&lt;0,G52&lt;&gt;"YES"),"INCOMPLETE FEES","OK"))))))</f>
        <v>OK</v>
      </c>
      <c r="J52" s="1"/>
      <c r="K52" s="1"/>
      <c r="L52" s="1"/>
      <c r="M52" s="1"/>
      <c r="N52" s="1"/>
      <c r="O52" s="1"/>
    </row>
    <row r="53" spans="1:15" ht="32" customHeight="1">
      <c r="A53" s="4" t="s">
        <v>328</v>
      </c>
      <c r="B53" s="4" t="s">
        <v>64</v>
      </c>
      <c r="C53" s="6">
        <v>45689</v>
      </c>
      <c r="D53" s="4" t="s">
        <v>277</v>
      </c>
      <c r="E53" s="12">
        <v>4950</v>
      </c>
      <c r="F53" s="6">
        <v>45962</v>
      </c>
      <c r="G53" s="4" t="s">
        <v>278</v>
      </c>
      <c r="H53" s="14" t="s">
        <v>279</v>
      </c>
      <c r="I53" s="11" t="str">
        <f>IF(A53="",IF(COUNTA(B53:H53)&gt;0,"MISSING ID",""),IF(COUNTIFS($A$6:$A$305,A53,$B$6:$B$305,B53)&lt;&gt;1,"DUPLICATE CASE/STAGE",IF(AND(B53&lt;&gt;"INITIAL",B53&lt;&gt;"RECON",B53&lt;&gt;"HEARING"),"UNKNOWN STAGE",IF(OR(NOT(ISNUMBER(C53)),C53&gt;Assumptions!$B$5,NOT(ISNUMBER(F53)),F53&lt;C53,F53&gt;Assumptions!$B$5),"INVALID DATES",IF(AND(D53&lt;&gt;"FAVORABLE",D53&lt;&gt;"OTHER"),"UNKNOWN OUTCOME",IF(OR(NOT(ISNUMBER(E53)),E53&lt;0,G53&lt;&gt;"YES"),"INCOMPLETE FEES","OK"))))))</f>
        <v>OK</v>
      </c>
      <c r="J53" s="1"/>
      <c r="K53" s="1"/>
      <c r="L53" s="1"/>
      <c r="M53" s="1"/>
      <c r="N53" s="1"/>
      <c r="O53" s="1"/>
    </row>
    <row r="54" spans="1:15" ht="32" customHeight="1">
      <c r="A54" s="4" t="s">
        <v>329</v>
      </c>
      <c r="B54" s="4" t="s">
        <v>64</v>
      </c>
      <c r="C54" s="6">
        <v>45689</v>
      </c>
      <c r="D54" s="4" t="s">
        <v>277</v>
      </c>
      <c r="E54" s="12">
        <v>4950</v>
      </c>
      <c r="F54" s="6">
        <v>45962</v>
      </c>
      <c r="G54" s="4" t="s">
        <v>278</v>
      </c>
      <c r="H54" s="14" t="s">
        <v>279</v>
      </c>
      <c r="I54" s="11" t="str">
        <f>IF(A54="",IF(COUNTA(B54:H54)&gt;0,"MISSING ID",""),IF(COUNTIFS($A$6:$A$305,A54,$B$6:$B$305,B54)&lt;&gt;1,"DUPLICATE CASE/STAGE",IF(AND(B54&lt;&gt;"INITIAL",B54&lt;&gt;"RECON",B54&lt;&gt;"HEARING"),"UNKNOWN STAGE",IF(OR(NOT(ISNUMBER(C54)),C54&gt;Assumptions!$B$5,NOT(ISNUMBER(F54)),F54&lt;C54,F54&gt;Assumptions!$B$5),"INVALID DATES",IF(AND(D54&lt;&gt;"FAVORABLE",D54&lt;&gt;"OTHER"),"UNKNOWN OUTCOME",IF(OR(NOT(ISNUMBER(E54)),E54&lt;0,G54&lt;&gt;"YES"),"INCOMPLETE FEES","OK"))))))</f>
        <v>OK</v>
      </c>
      <c r="J54" s="1"/>
      <c r="K54" s="1"/>
      <c r="L54" s="1"/>
      <c r="M54" s="1"/>
      <c r="N54" s="1"/>
      <c r="O54" s="1"/>
    </row>
    <row r="55" spans="1:15" ht="32" customHeight="1">
      <c r="A55" s="4" t="s">
        <v>330</v>
      </c>
      <c r="B55" s="4" t="s">
        <v>64</v>
      </c>
      <c r="C55" s="6">
        <v>45689</v>
      </c>
      <c r="D55" s="4" t="s">
        <v>277</v>
      </c>
      <c r="E55" s="12">
        <v>4950</v>
      </c>
      <c r="F55" s="6">
        <v>45962</v>
      </c>
      <c r="G55" s="4" t="s">
        <v>278</v>
      </c>
      <c r="H55" s="14" t="s">
        <v>279</v>
      </c>
      <c r="I55" s="11" t="str">
        <f>IF(A55="",IF(COUNTA(B55:H55)&gt;0,"MISSING ID",""),IF(COUNTIFS($A$6:$A$305,A55,$B$6:$B$305,B55)&lt;&gt;1,"DUPLICATE CASE/STAGE",IF(AND(B55&lt;&gt;"INITIAL",B55&lt;&gt;"RECON",B55&lt;&gt;"HEARING"),"UNKNOWN STAGE",IF(OR(NOT(ISNUMBER(C55)),C55&gt;Assumptions!$B$5,NOT(ISNUMBER(F55)),F55&lt;C55,F55&gt;Assumptions!$B$5),"INVALID DATES",IF(AND(D55&lt;&gt;"FAVORABLE",D55&lt;&gt;"OTHER"),"UNKNOWN OUTCOME",IF(OR(NOT(ISNUMBER(E55)),E55&lt;0,G55&lt;&gt;"YES"),"INCOMPLETE FEES","OK"))))))</f>
        <v>OK</v>
      </c>
      <c r="J55" s="1"/>
      <c r="K55" s="1"/>
      <c r="L55" s="1"/>
      <c r="M55" s="1"/>
      <c r="N55" s="1"/>
      <c r="O55" s="1"/>
    </row>
    <row r="56" spans="1:15" ht="32" customHeight="1">
      <c r="A56" s="4" t="s">
        <v>331</v>
      </c>
      <c r="B56" s="4" t="s">
        <v>64</v>
      </c>
      <c r="C56" s="6">
        <v>45689</v>
      </c>
      <c r="D56" s="4" t="s">
        <v>277</v>
      </c>
      <c r="E56" s="12">
        <v>0</v>
      </c>
      <c r="F56" s="6">
        <v>45962</v>
      </c>
      <c r="G56" s="4" t="s">
        <v>278</v>
      </c>
      <c r="H56" s="14" t="s">
        <v>279</v>
      </c>
      <c r="I56" s="11" t="str">
        <f>IF(A56="",IF(COUNTA(B56:H56)&gt;0,"MISSING ID",""),IF(COUNTIFS($A$6:$A$305,A56,$B$6:$B$305,B56)&lt;&gt;1,"DUPLICATE CASE/STAGE",IF(AND(B56&lt;&gt;"INITIAL",B56&lt;&gt;"RECON",B56&lt;&gt;"HEARING"),"UNKNOWN STAGE",IF(OR(NOT(ISNUMBER(C56)),C56&gt;Assumptions!$B$5,NOT(ISNUMBER(F56)),F56&lt;C56,F56&gt;Assumptions!$B$5),"INVALID DATES",IF(AND(D56&lt;&gt;"FAVORABLE",D56&lt;&gt;"OTHER"),"UNKNOWN OUTCOME",IF(OR(NOT(ISNUMBER(E56)),E56&lt;0,G56&lt;&gt;"YES"),"INCOMPLETE FEES","OK"))))))</f>
        <v>OK</v>
      </c>
      <c r="J56" s="1"/>
      <c r="K56" s="1"/>
      <c r="L56" s="1"/>
      <c r="M56" s="1"/>
      <c r="N56" s="1"/>
      <c r="O56" s="1"/>
    </row>
    <row r="57" spans="1:15" ht="32" customHeight="1">
      <c r="A57" s="4" t="s">
        <v>332</v>
      </c>
      <c r="B57" s="4" t="s">
        <v>64</v>
      </c>
      <c r="C57" s="6">
        <v>45689</v>
      </c>
      <c r="D57" s="4" t="s">
        <v>283</v>
      </c>
      <c r="E57" s="12">
        <v>0</v>
      </c>
      <c r="F57" s="6">
        <v>45962</v>
      </c>
      <c r="G57" s="4" t="s">
        <v>278</v>
      </c>
      <c r="H57" s="14" t="s">
        <v>279</v>
      </c>
      <c r="I57" s="11" t="str">
        <f>IF(A57="",IF(COUNTA(B57:H57)&gt;0,"MISSING ID",""),IF(COUNTIFS($A$6:$A$305,A57,$B$6:$B$305,B57)&lt;&gt;1,"DUPLICATE CASE/STAGE",IF(AND(B57&lt;&gt;"INITIAL",B57&lt;&gt;"RECON",B57&lt;&gt;"HEARING"),"UNKNOWN STAGE",IF(OR(NOT(ISNUMBER(C57)),C57&gt;Assumptions!$B$5,NOT(ISNUMBER(F57)),F57&lt;C57,F57&gt;Assumptions!$B$5),"INVALID DATES",IF(AND(D57&lt;&gt;"FAVORABLE",D57&lt;&gt;"OTHER"),"UNKNOWN OUTCOME",IF(OR(NOT(ISNUMBER(E57)),E57&lt;0,G57&lt;&gt;"YES"),"INCOMPLETE FEES","OK"))))))</f>
        <v>OK</v>
      </c>
      <c r="J57" s="1"/>
      <c r="K57" s="1"/>
      <c r="L57" s="1"/>
      <c r="M57" s="1"/>
      <c r="N57" s="1"/>
      <c r="O57" s="1"/>
    </row>
    <row r="58" spans="1:15" ht="32" customHeight="1">
      <c r="A58" s="4" t="s">
        <v>333</v>
      </c>
      <c r="B58" s="4" t="s">
        <v>64</v>
      </c>
      <c r="C58" s="6">
        <v>45689</v>
      </c>
      <c r="D58" s="4" t="s">
        <v>283</v>
      </c>
      <c r="E58" s="12">
        <v>0</v>
      </c>
      <c r="F58" s="6">
        <v>45962</v>
      </c>
      <c r="G58" s="4" t="s">
        <v>278</v>
      </c>
      <c r="H58" s="14" t="s">
        <v>279</v>
      </c>
      <c r="I58" s="11" t="str">
        <f>IF(A58="",IF(COUNTA(B58:H58)&gt;0,"MISSING ID",""),IF(COUNTIFS($A$6:$A$305,A58,$B$6:$B$305,B58)&lt;&gt;1,"DUPLICATE CASE/STAGE",IF(AND(B58&lt;&gt;"INITIAL",B58&lt;&gt;"RECON",B58&lt;&gt;"HEARING"),"UNKNOWN STAGE",IF(OR(NOT(ISNUMBER(C58)),C58&gt;Assumptions!$B$5,NOT(ISNUMBER(F58)),F58&lt;C58,F58&gt;Assumptions!$B$5),"INVALID DATES",IF(AND(D58&lt;&gt;"FAVORABLE",D58&lt;&gt;"OTHER"),"UNKNOWN OUTCOME",IF(OR(NOT(ISNUMBER(E58)),E58&lt;0,G58&lt;&gt;"YES"),"INCOMPLETE FEES","OK"))))))</f>
        <v>OK</v>
      </c>
      <c r="J58" s="1"/>
      <c r="K58" s="1"/>
      <c r="L58" s="1"/>
      <c r="M58" s="1"/>
      <c r="N58" s="1"/>
      <c r="O58" s="1"/>
    </row>
    <row r="59" spans="1:15" ht="32" customHeight="1">
      <c r="A59" s="4" t="s">
        <v>334</v>
      </c>
      <c r="B59" s="4" t="s">
        <v>64</v>
      </c>
      <c r="C59" s="6">
        <v>45689</v>
      </c>
      <c r="D59" s="4" t="s">
        <v>283</v>
      </c>
      <c r="E59" s="12">
        <v>0</v>
      </c>
      <c r="F59" s="6">
        <v>45962</v>
      </c>
      <c r="G59" s="4" t="s">
        <v>278</v>
      </c>
      <c r="H59" s="14" t="s">
        <v>279</v>
      </c>
      <c r="I59" s="11" t="str">
        <f>IF(A59="",IF(COUNTA(B59:H59)&gt;0,"MISSING ID",""),IF(COUNTIFS($A$6:$A$305,A59,$B$6:$B$305,B59)&lt;&gt;1,"DUPLICATE CASE/STAGE",IF(AND(B59&lt;&gt;"INITIAL",B59&lt;&gt;"RECON",B59&lt;&gt;"HEARING"),"UNKNOWN STAGE",IF(OR(NOT(ISNUMBER(C59)),C59&gt;Assumptions!$B$5,NOT(ISNUMBER(F59)),F59&lt;C59,F59&gt;Assumptions!$B$5),"INVALID DATES",IF(AND(D59&lt;&gt;"FAVORABLE",D59&lt;&gt;"OTHER"),"UNKNOWN OUTCOME",IF(OR(NOT(ISNUMBER(E59)),E59&lt;0,G59&lt;&gt;"YES"),"INCOMPLETE FEES","OK"))))))</f>
        <v>OK</v>
      </c>
      <c r="J59" s="1"/>
      <c r="K59" s="1"/>
      <c r="L59" s="1"/>
      <c r="M59" s="1"/>
      <c r="N59" s="1"/>
      <c r="O59" s="1"/>
    </row>
    <row r="60" spans="1:15" ht="32" customHeight="1">
      <c r="A60" s="4" t="s">
        <v>335</v>
      </c>
      <c r="B60" s="4" t="s">
        <v>64</v>
      </c>
      <c r="C60" s="6">
        <v>45689</v>
      </c>
      <c r="D60" s="4" t="s">
        <v>283</v>
      </c>
      <c r="E60" s="12">
        <v>0</v>
      </c>
      <c r="F60" s="6">
        <v>45962</v>
      </c>
      <c r="G60" s="4" t="s">
        <v>278</v>
      </c>
      <c r="H60" s="14" t="s">
        <v>279</v>
      </c>
      <c r="I60" s="11" t="str">
        <f>IF(A60="",IF(COUNTA(B60:H60)&gt;0,"MISSING ID",""),IF(COUNTIFS($A$6:$A$305,A60,$B$6:$B$305,B60)&lt;&gt;1,"DUPLICATE CASE/STAGE",IF(AND(B60&lt;&gt;"INITIAL",B60&lt;&gt;"RECON",B60&lt;&gt;"HEARING"),"UNKNOWN STAGE",IF(OR(NOT(ISNUMBER(C60)),C60&gt;Assumptions!$B$5,NOT(ISNUMBER(F60)),F60&lt;C60,F60&gt;Assumptions!$B$5),"INVALID DATES",IF(AND(D60&lt;&gt;"FAVORABLE",D60&lt;&gt;"OTHER"),"UNKNOWN OUTCOME",IF(OR(NOT(ISNUMBER(E60)),E60&lt;0,G60&lt;&gt;"YES"),"INCOMPLETE FEES","OK"))))))</f>
        <v>OK</v>
      </c>
      <c r="J60" s="1"/>
      <c r="K60" s="1"/>
      <c r="L60" s="1"/>
      <c r="M60" s="1"/>
      <c r="N60" s="1"/>
      <c r="O60" s="1"/>
    </row>
    <row r="61" spans="1:15" ht="32" customHeight="1">
      <c r="A61" s="4" t="s">
        <v>336</v>
      </c>
      <c r="B61" s="4" t="s">
        <v>64</v>
      </c>
      <c r="C61" s="6">
        <v>45689</v>
      </c>
      <c r="D61" s="4" t="s">
        <v>283</v>
      </c>
      <c r="E61" s="12">
        <v>0</v>
      </c>
      <c r="F61" s="6">
        <v>45962</v>
      </c>
      <c r="G61" s="4" t="s">
        <v>278</v>
      </c>
      <c r="H61" s="14" t="s">
        <v>279</v>
      </c>
      <c r="I61" s="11" t="str">
        <f>IF(A61="",IF(COUNTA(B61:H61)&gt;0,"MISSING ID",""),IF(COUNTIFS($A$6:$A$305,A61,$B$6:$B$305,B61)&lt;&gt;1,"DUPLICATE CASE/STAGE",IF(AND(B61&lt;&gt;"INITIAL",B61&lt;&gt;"RECON",B61&lt;&gt;"HEARING"),"UNKNOWN STAGE",IF(OR(NOT(ISNUMBER(C61)),C61&gt;Assumptions!$B$5,NOT(ISNUMBER(F61)),F61&lt;C61,F61&gt;Assumptions!$B$5),"INVALID DATES",IF(AND(D61&lt;&gt;"FAVORABLE",D61&lt;&gt;"OTHER"),"UNKNOWN OUTCOME",IF(OR(NOT(ISNUMBER(E61)),E61&lt;0,G61&lt;&gt;"YES"),"INCOMPLETE FEES","OK"))))))</f>
        <v>OK</v>
      </c>
      <c r="J61" s="1"/>
      <c r="K61" s="1"/>
      <c r="L61" s="1"/>
      <c r="M61" s="1"/>
      <c r="N61" s="1"/>
      <c r="O61" s="1"/>
    </row>
    <row r="62" spans="1:15" ht="32" customHeight="1">
      <c r="A62" s="4" t="s">
        <v>337</v>
      </c>
      <c r="B62" s="4" t="s">
        <v>64</v>
      </c>
      <c r="C62" s="6">
        <v>45689</v>
      </c>
      <c r="D62" s="4" t="s">
        <v>283</v>
      </c>
      <c r="E62" s="12">
        <v>0</v>
      </c>
      <c r="F62" s="6">
        <v>45962</v>
      </c>
      <c r="G62" s="4" t="s">
        <v>278</v>
      </c>
      <c r="H62" s="14" t="s">
        <v>279</v>
      </c>
      <c r="I62" s="11" t="str">
        <f>IF(A62="",IF(COUNTA(B62:H62)&gt;0,"MISSING ID",""),IF(COUNTIFS($A$6:$A$305,A62,$B$6:$B$305,B62)&lt;&gt;1,"DUPLICATE CASE/STAGE",IF(AND(B62&lt;&gt;"INITIAL",B62&lt;&gt;"RECON",B62&lt;&gt;"HEARING"),"UNKNOWN STAGE",IF(OR(NOT(ISNUMBER(C62)),C62&gt;Assumptions!$B$5,NOT(ISNUMBER(F62)),F62&lt;C62,F62&gt;Assumptions!$B$5),"INVALID DATES",IF(AND(D62&lt;&gt;"FAVORABLE",D62&lt;&gt;"OTHER"),"UNKNOWN OUTCOME",IF(OR(NOT(ISNUMBER(E62)),E62&lt;0,G62&lt;&gt;"YES"),"INCOMPLETE FEES","OK"))))))</f>
        <v>OK</v>
      </c>
      <c r="J62" s="1"/>
      <c r="K62" s="1"/>
      <c r="L62" s="1"/>
      <c r="M62" s="1"/>
      <c r="N62" s="1"/>
      <c r="O62" s="1"/>
    </row>
    <row r="63" spans="1:15" ht="32" customHeight="1">
      <c r="A63" s="4" t="s">
        <v>338</v>
      </c>
      <c r="B63" s="4" t="s">
        <v>64</v>
      </c>
      <c r="C63" s="6">
        <v>45689</v>
      </c>
      <c r="D63" s="4" t="s">
        <v>283</v>
      </c>
      <c r="E63" s="12">
        <v>0</v>
      </c>
      <c r="F63" s="6">
        <v>45962</v>
      </c>
      <c r="G63" s="4" t="s">
        <v>278</v>
      </c>
      <c r="H63" s="14" t="s">
        <v>279</v>
      </c>
      <c r="I63" s="11" t="str">
        <f>IF(A63="",IF(COUNTA(B63:H63)&gt;0,"MISSING ID",""),IF(COUNTIFS($A$6:$A$305,A63,$B$6:$B$305,B63)&lt;&gt;1,"DUPLICATE CASE/STAGE",IF(AND(B63&lt;&gt;"INITIAL",B63&lt;&gt;"RECON",B63&lt;&gt;"HEARING"),"UNKNOWN STAGE",IF(OR(NOT(ISNUMBER(C63)),C63&gt;Assumptions!$B$5,NOT(ISNUMBER(F63)),F63&lt;C63,F63&gt;Assumptions!$B$5),"INVALID DATES",IF(AND(D63&lt;&gt;"FAVORABLE",D63&lt;&gt;"OTHER"),"UNKNOWN OUTCOME",IF(OR(NOT(ISNUMBER(E63)),E63&lt;0,G63&lt;&gt;"YES"),"INCOMPLETE FEES","OK"))))))</f>
        <v>OK</v>
      </c>
      <c r="J63" s="1"/>
      <c r="K63" s="1"/>
      <c r="L63" s="1"/>
      <c r="M63" s="1"/>
      <c r="N63" s="1"/>
      <c r="O63" s="1"/>
    </row>
    <row r="64" spans="1:15" ht="32" customHeight="1">
      <c r="A64" s="4" t="s">
        <v>339</v>
      </c>
      <c r="B64" s="4" t="s">
        <v>64</v>
      </c>
      <c r="C64" s="6">
        <v>45689</v>
      </c>
      <c r="D64" s="4" t="s">
        <v>283</v>
      </c>
      <c r="E64" s="12">
        <v>0</v>
      </c>
      <c r="F64" s="6">
        <v>45962</v>
      </c>
      <c r="G64" s="4" t="s">
        <v>278</v>
      </c>
      <c r="H64" s="14" t="s">
        <v>279</v>
      </c>
      <c r="I64" s="11" t="str">
        <f>IF(A64="",IF(COUNTA(B64:H64)&gt;0,"MISSING ID",""),IF(COUNTIFS($A$6:$A$305,A64,$B$6:$B$305,B64)&lt;&gt;1,"DUPLICATE CASE/STAGE",IF(AND(B64&lt;&gt;"INITIAL",B64&lt;&gt;"RECON",B64&lt;&gt;"HEARING"),"UNKNOWN STAGE",IF(OR(NOT(ISNUMBER(C64)),C64&gt;Assumptions!$B$5,NOT(ISNUMBER(F64)),F64&lt;C64,F64&gt;Assumptions!$B$5),"INVALID DATES",IF(AND(D64&lt;&gt;"FAVORABLE",D64&lt;&gt;"OTHER"),"UNKNOWN OUTCOME",IF(OR(NOT(ISNUMBER(E64)),E64&lt;0,G64&lt;&gt;"YES"),"INCOMPLETE FEES","OK"))))))</f>
        <v>OK</v>
      </c>
      <c r="J64" s="1"/>
      <c r="K64" s="1"/>
      <c r="L64" s="1"/>
      <c r="M64" s="1"/>
      <c r="N64" s="1"/>
      <c r="O64" s="1"/>
    </row>
    <row r="65" spans="1:15" ht="32" customHeight="1">
      <c r="A65" s="4" t="s">
        <v>340</v>
      </c>
      <c r="B65" s="4" t="s">
        <v>64</v>
      </c>
      <c r="C65" s="6">
        <v>45689</v>
      </c>
      <c r="D65" s="4" t="s">
        <v>283</v>
      </c>
      <c r="E65" s="12">
        <v>0</v>
      </c>
      <c r="F65" s="6">
        <v>45962</v>
      </c>
      <c r="G65" s="4" t="s">
        <v>278</v>
      </c>
      <c r="H65" s="14" t="s">
        <v>279</v>
      </c>
      <c r="I65" s="11" t="str">
        <f>IF(A65="",IF(COUNTA(B65:H65)&gt;0,"MISSING ID",""),IF(COUNTIFS($A$6:$A$305,A65,$B$6:$B$305,B65)&lt;&gt;1,"DUPLICATE CASE/STAGE",IF(AND(B65&lt;&gt;"INITIAL",B65&lt;&gt;"RECON",B65&lt;&gt;"HEARING"),"UNKNOWN STAGE",IF(OR(NOT(ISNUMBER(C65)),C65&gt;Assumptions!$B$5,NOT(ISNUMBER(F65)),F65&lt;C65,F65&gt;Assumptions!$B$5),"INVALID DATES",IF(AND(D65&lt;&gt;"FAVORABLE",D65&lt;&gt;"OTHER"),"UNKNOWN OUTCOME",IF(OR(NOT(ISNUMBER(E65)),E65&lt;0,G65&lt;&gt;"YES"),"INCOMPLETE FEES","OK"))))))</f>
        <v>OK</v>
      </c>
      <c r="J65" s="1"/>
      <c r="K65" s="1"/>
      <c r="L65" s="1"/>
      <c r="M65" s="1"/>
      <c r="N65" s="1"/>
      <c r="O65" s="1"/>
    </row>
    <row r="66" spans="1:15" ht="32" customHeight="1">
      <c r="A66" s="4"/>
      <c r="B66" s="4"/>
      <c r="C66" s="6"/>
      <c r="D66" s="4"/>
      <c r="E66" s="12"/>
      <c r="F66" s="6"/>
      <c r="G66" s="4"/>
      <c r="H66" s="14"/>
      <c r="I66" s="11" t="str">
        <f>IF(A66="",IF(COUNTA(B66:H66)&gt;0,"MISSING ID",""),IF(COUNTIFS($A$6:$A$305,A66,$B$6:$B$305,B66)&lt;&gt;1,"DUPLICATE CASE/STAGE",IF(AND(B66&lt;&gt;"INITIAL",B66&lt;&gt;"RECON",B66&lt;&gt;"HEARING"),"UNKNOWN STAGE",IF(OR(NOT(ISNUMBER(C66)),C66&gt;Assumptions!$B$5,NOT(ISNUMBER(F66)),F66&lt;C66,F66&gt;Assumptions!$B$5),"INVALID DATES",IF(AND(D66&lt;&gt;"FAVORABLE",D66&lt;&gt;"OTHER"),"UNKNOWN OUTCOME",IF(OR(NOT(ISNUMBER(E66)),E66&lt;0,G66&lt;&gt;"YES"),"INCOMPLETE FEES","OK"))))))</f>
        <v/>
      </c>
      <c r="J66" s="1"/>
      <c r="K66" s="1"/>
      <c r="L66" s="1"/>
      <c r="M66" s="1"/>
      <c r="N66" s="1"/>
      <c r="O66" s="1"/>
    </row>
    <row r="67" spans="1:15" ht="32" customHeight="1">
      <c r="A67" s="4"/>
      <c r="B67" s="4"/>
      <c r="C67" s="6"/>
      <c r="D67" s="4"/>
      <c r="E67" s="12"/>
      <c r="F67" s="6"/>
      <c r="G67" s="4"/>
      <c r="H67" s="14"/>
      <c r="I67" s="11" t="str">
        <f>IF(A67="",IF(COUNTA(B67:H67)&gt;0,"MISSING ID",""),IF(COUNTIFS($A$6:$A$305,A67,$B$6:$B$305,B67)&lt;&gt;1,"DUPLICATE CASE/STAGE",IF(AND(B67&lt;&gt;"INITIAL",B67&lt;&gt;"RECON",B67&lt;&gt;"HEARING"),"UNKNOWN STAGE",IF(OR(NOT(ISNUMBER(C67)),C67&gt;Assumptions!$B$5,NOT(ISNUMBER(F67)),F67&lt;C67,F67&gt;Assumptions!$B$5),"INVALID DATES",IF(AND(D67&lt;&gt;"FAVORABLE",D67&lt;&gt;"OTHER"),"UNKNOWN OUTCOME",IF(OR(NOT(ISNUMBER(E67)),E67&lt;0,G67&lt;&gt;"YES"),"INCOMPLETE FEES","OK"))))))</f>
        <v/>
      </c>
      <c r="J67" s="1"/>
      <c r="K67" s="1"/>
      <c r="L67" s="1"/>
      <c r="M67" s="1"/>
      <c r="N67" s="1"/>
      <c r="O67" s="1"/>
    </row>
    <row r="68" spans="1:15" ht="32" customHeight="1">
      <c r="A68" s="4"/>
      <c r="B68" s="4"/>
      <c r="C68" s="6"/>
      <c r="D68" s="4"/>
      <c r="E68" s="12"/>
      <c r="F68" s="6"/>
      <c r="G68" s="4"/>
      <c r="H68" s="14"/>
      <c r="I68" s="11" t="str">
        <f>IF(A68="",IF(COUNTA(B68:H68)&gt;0,"MISSING ID",""),IF(COUNTIFS($A$6:$A$305,A68,$B$6:$B$305,B68)&lt;&gt;1,"DUPLICATE CASE/STAGE",IF(AND(B68&lt;&gt;"INITIAL",B68&lt;&gt;"RECON",B68&lt;&gt;"HEARING"),"UNKNOWN STAGE",IF(OR(NOT(ISNUMBER(C68)),C68&gt;Assumptions!$B$5,NOT(ISNUMBER(F68)),F68&lt;C68,F68&gt;Assumptions!$B$5),"INVALID DATES",IF(AND(D68&lt;&gt;"FAVORABLE",D68&lt;&gt;"OTHER"),"UNKNOWN OUTCOME",IF(OR(NOT(ISNUMBER(E68)),E68&lt;0,G68&lt;&gt;"YES"),"INCOMPLETE FEES","OK"))))))</f>
        <v/>
      </c>
      <c r="J68" s="1"/>
      <c r="K68" s="1"/>
      <c r="L68" s="1"/>
      <c r="M68" s="1"/>
      <c r="N68" s="1"/>
      <c r="O68" s="1"/>
    </row>
    <row r="69" spans="1:15" ht="32" customHeight="1">
      <c r="A69" s="4"/>
      <c r="B69" s="4"/>
      <c r="C69" s="6"/>
      <c r="D69" s="4"/>
      <c r="E69" s="12"/>
      <c r="F69" s="6"/>
      <c r="G69" s="4"/>
      <c r="H69" s="14"/>
      <c r="I69" s="11" t="str">
        <f>IF(A69="",IF(COUNTA(B69:H69)&gt;0,"MISSING ID",""),IF(COUNTIFS($A$6:$A$305,A69,$B$6:$B$305,B69)&lt;&gt;1,"DUPLICATE CASE/STAGE",IF(AND(B69&lt;&gt;"INITIAL",B69&lt;&gt;"RECON",B69&lt;&gt;"HEARING"),"UNKNOWN STAGE",IF(OR(NOT(ISNUMBER(C69)),C69&gt;Assumptions!$B$5,NOT(ISNUMBER(F69)),F69&lt;C69,F69&gt;Assumptions!$B$5),"INVALID DATES",IF(AND(D69&lt;&gt;"FAVORABLE",D69&lt;&gt;"OTHER"),"UNKNOWN OUTCOME",IF(OR(NOT(ISNUMBER(E69)),E69&lt;0,G69&lt;&gt;"YES"),"INCOMPLETE FEES","OK"))))))</f>
        <v/>
      </c>
      <c r="J69" s="1"/>
      <c r="K69" s="1"/>
      <c r="L69" s="1"/>
      <c r="M69" s="1"/>
      <c r="N69" s="1"/>
      <c r="O69" s="1"/>
    </row>
    <row r="70" spans="1:15" ht="32" customHeight="1">
      <c r="A70" s="4"/>
      <c r="B70" s="4"/>
      <c r="C70" s="6"/>
      <c r="D70" s="4"/>
      <c r="E70" s="12"/>
      <c r="F70" s="6"/>
      <c r="G70" s="4"/>
      <c r="H70" s="14"/>
      <c r="I70" s="11" t="str">
        <f>IF(A70="",IF(COUNTA(B70:H70)&gt;0,"MISSING ID",""),IF(COUNTIFS($A$6:$A$305,A70,$B$6:$B$305,B70)&lt;&gt;1,"DUPLICATE CASE/STAGE",IF(AND(B70&lt;&gt;"INITIAL",B70&lt;&gt;"RECON",B70&lt;&gt;"HEARING"),"UNKNOWN STAGE",IF(OR(NOT(ISNUMBER(C70)),C70&gt;Assumptions!$B$5,NOT(ISNUMBER(F70)),F70&lt;C70,F70&gt;Assumptions!$B$5),"INVALID DATES",IF(AND(D70&lt;&gt;"FAVORABLE",D70&lt;&gt;"OTHER"),"UNKNOWN OUTCOME",IF(OR(NOT(ISNUMBER(E70)),E70&lt;0,G70&lt;&gt;"YES"),"INCOMPLETE FEES","OK"))))))</f>
        <v/>
      </c>
      <c r="J70" s="1"/>
      <c r="K70" s="1"/>
      <c r="L70" s="1"/>
      <c r="M70" s="1"/>
      <c r="N70" s="1"/>
      <c r="O70" s="1"/>
    </row>
    <row r="71" spans="1:15" ht="32" customHeight="1">
      <c r="A71" s="4"/>
      <c r="B71" s="4"/>
      <c r="C71" s="6"/>
      <c r="D71" s="4"/>
      <c r="E71" s="12"/>
      <c r="F71" s="6"/>
      <c r="G71" s="4"/>
      <c r="H71" s="14"/>
      <c r="I71" s="11" t="str">
        <f>IF(A71="",IF(COUNTA(B71:H71)&gt;0,"MISSING ID",""),IF(COUNTIFS($A$6:$A$305,A71,$B$6:$B$305,B71)&lt;&gt;1,"DUPLICATE CASE/STAGE",IF(AND(B71&lt;&gt;"INITIAL",B71&lt;&gt;"RECON",B71&lt;&gt;"HEARING"),"UNKNOWN STAGE",IF(OR(NOT(ISNUMBER(C71)),C71&gt;Assumptions!$B$5,NOT(ISNUMBER(F71)),F71&lt;C71,F71&gt;Assumptions!$B$5),"INVALID DATES",IF(AND(D71&lt;&gt;"FAVORABLE",D71&lt;&gt;"OTHER"),"UNKNOWN OUTCOME",IF(OR(NOT(ISNUMBER(E71)),E71&lt;0,G71&lt;&gt;"YES"),"INCOMPLETE FEES","OK"))))))</f>
        <v/>
      </c>
      <c r="J71" s="1"/>
      <c r="K71" s="1"/>
      <c r="L71" s="1"/>
      <c r="M71" s="1"/>
      <c r="N71" s="1"/>
      <c r="O71" s="1"/>
    </row>
    <row r="72" spans="1:15" ht="32" customHeight="1">
      <c r="A72" s="4"/>
      <c r="B72" s="4"/>
      <c r="C72" s="6"/>
      <c r="D72" s="4"/>
      <c r="E72" s="12"/>
      <c r="F72" s="6"/>
      <c r="G72" s="4"/>
      <c r="H72" s="14"/>
      <c r="I72" s="11" t="str">
        <f>IF(A72="",IF(COUNTA(B72:H72)&gt;0,"MISSING ID",""),IF(COUNTIFS($A$6:$A$305,A72,$B$6:$B$305,B72)&lt;&gt;1,"DUPLICATE CASE/STAGE",IF(AND(B72&lt;&gt;"INITIAL",B72&lt;&gt;"RECON",B72&lt;&gt;"HEARING"),"UNKNOWN STAGE",IF(OR(NOT(ISNUMBER(C72)),C72&gt;Assumptions!$B$5,NOT(ISNUMBER(F72)),F72&lt;C72,F72&gt;Assumptions!$B$5),"INVALID DATES",IF(AND(D72&lt;&gt;"FAVORABLE",D72&lt;&gt;"OTHER"),"UNKNOWN OUTCOME",IF(OR(NOT(ISNUMBER(E72)),E72&lt;0,G72&lt;&gt;"YES"),"INCOMPLETE FEES","OK"))))))</f>
        <v/>
      </c>
      <c r="J72" s="1"/>
      <c r="K72" s="1"/>
      <c r="L72" s="1"/>
      <c r="M72" s="1"/>
      <c r="N72" s="1"/>
      <c r="O72" s="1"/>
    </row>
    <row r="73" spans="1:15" ht="32" customHeight="1">
      <c r="A73" s="4"/>
      <c r="B73" s="4"/>
      <c r="C73" s="6"/>
      <c r="D73" s="4"/>
      <c r="E73" s="12"/>
      <c r="F73" s="6"/>
      <c r="G73" s="4"/>
      <c r="H73" s="14"/>
      <c r="I73" s="11" t="str">
        <f>IF(A73="",IF(COUNTA(B73:H73)&gt;0,"MISSING ID",""),IF(COUNTIFS($A$6:$A$305,A73,$B$6:$B$305,B73)&lt;&gt;1,"DUPLICATE CASE/STAGE",IF(AND(B73&lt;&gt;"INITIAL",B73&lt;&gt;"RECON",B73&lt;&gt;"HEARING"),"UNKNOWN STAGE",IF(OR(NOT(ISNUMBER(C73)),C73&gt;Assumptions!$B$5,NOT(ISNUMBER(F73)),F73&lt;C73,F73&gt;Assumptions!$B$5),"INVALID DATES",IF(AND(D73&lt;&gt;"FAVORABLE",D73&lt;&gt;"OTHER"),"UNKNOWN OUTCOME",IF(OR(NOT(ISNUMBER(E73)),E73&lt;0,G73&lt;&gt;"YES"),"INCOMPLETE FEES","OK"))))))</f>
        <v/>
      </c>
      <c r="J73" s="1"/>
      <c r="K73" s="1"/>
      <c r="L73" s="1"/>
      <c r="M73" s="1"/>
      <c r="N73" s="1"/>
      <c r="O73" s="1"/>
    </row>
    <row r="74" spans="1:15" ht="32" customHeight="1">
      <c r="A74" s="4"/>
      <c r="B74" s="4"/>
      <c r="C74" s="6"/>
      <c r="D74" s="4"/>
      <c r="E74" s="12"/>
      <c r="F74" s="6"/>
      <c r="G74" s="4"/>
      <c r="H74" s="14"/>
      <c r="I74" s="11" t="str">
        <f>IF(A74="",IF(COUNTA(B74:H74)&gt;0,"MISSING ID",""),IF(COUNTIFS($A$6:$A$305,A74,$B$6:$B$305,B74)&lt;&gt;1,"DUPLICATE CASE/STAGE",IF(AND(B74&lt;&gt;"INITIAL",B74&lt;&gt;"RECON",B74&lt;&gt;"HEARING"),"UNKNOWN STAGE",IF(OR(NOT(ISNUMBER(C74)),C74&gt;Assumptions!$B$5,NOT(ISNUMBER(F74)),F74&lt;C74,F74&gt;Assumptions!$B$5),"INVALID DATES",IF(AND(D74&lt;&gt;"FAVORABLE",D74&lt;&gt;"OTHER"),"UNKNOWN OUTCOME",IF(OR(NOT(ISNUMBER(E74)),E74&lt;0,G74&lt;&gt;"YES"),"INCOMPLETE FEES","OK"))))))</f>
        <v/>
      </c>
      <c r="J74" s="1"/>
      <c r="K74" s="1"/>
      <c r="L74" s="1"/>
      <c r="M74" s="1"/>
      <c r="N74" s="1"/>
      <c r="O74" s="1"/>
    </row>
    <row r="75" spans="1:15" ht="32" customHeight="1">
      <c r="A75" s="4"/>
      <c r="B75" s="4"/>
      <c r="C75" s="6"/>
      <c r="D75" s="4"/>
      <c r="E75" s="12"/>
      <c r="F75" s="6"/>
      <c r="G75" s="4"/>
      <c r="H75" s="14"/>
      <c r="I75" s="11" t="str">
        <f>IF(A75="",IF(COUNTA(B75:H75)&gt;0,"MISSING ID",""),IF(COUNTIFS($A$6:$A$305,A75,$B$6:$B$305,B75)&lt;&gt;1,"DUPLICATE CASE/STAGE",IF(AND(B75&lt;&gt;"INITIAL",B75&lt;&gt;"RECON",B75&lt;&gt;"HEARING"),"UNKNOWN STAGE",IF(OR(NOT(ISNUMBER(C75)),C75&gt;Assumptions!$B$5,NOT(ISNUMBER(F75)),F75&lt;C75,F75&gt;Assumptions!$B$5),"INVALID DATES",IF(AND(D75&lt;&gt;"FAVORABLE",D75&lt;&gt;"OTHER"),"UNKNOWN OUTCOME",IF(OR(NOT(ISNUMBER(E75)),E75&lt;0,G75&lt;&gt;"YES"),"INCOMPLETE FEES","OK"))))))</f>
        <v/>
      </c>
      <c r="J75" s="1"/>
      <c r="K75" s="1"/>
      <c r="L75" s="1"/>
      <c r="M75" s="1"/>
      <c r="N75" s="1"/>
      <c r="O75" s="1"/>
    </row>
    <row r="76" spans="1:15" ht="32" customHeight="1">
      <c r="A76" s="4"/>
      <c r="B76" s="4"/>
      <c r="C76" s="6"/>
      <c r="D76" s="4"/>
      <c r="E76" s="12"/>
      <c r="F76" s="6"/>
      <c r="G76" s="4"/>
      <c r="H76" s="14"/>
      <c r="I76" s="11" t="str">
        <f>IF(A76="",IF(COUNTA(B76:H76)&gt;0,"MISSING ID",""),IF(COUNTIFS($A$6:$A$305,A76,$B$6:$B$305,B76)&lt;&gt;1,"DUPLICATE CASE/STAGE",IF(AND(B76&lt;&gt;"INITIAL",B76&lt;&gt;"RECON",B76&lt;&gt;"HEARING"),"UNKNOWN STAGE",IF(OR(NOT(ISNUMBER(C76)),C76&gt;Assumptions!$B$5,NOT(ISNUMBER(F76)),F76&lt;C76,F76&gt;Assumptions!$B$5),"INVALID DATES",IF(AND(D76&lt;&gt;"FAVORABLE",D76&lt;&gt;"OTHER"),"UNKNOWN OUTCOME",IF(OR(NOT(ISNUMBER(E76)),E76&lt;0,G76&lt;&gt;"YES"),"INCOMPLETE FEES","OK"))))))</f>
        <v/>
      </c>
      <c r="J76" s="1"/>
      <c r="K76" s="1"/>
      <c r="L76" s="1"/>
      <c r="M76" s="1"/>
      <c r="N76" s="1"/>
      <c r="O76" s="1"/>
    </row>
    <row r="77" spans="1:15" ht="32" customHeight="1">
      <c r="A77" s="4"/>
      <c r="B77" s="4"/>
      <c r="C77" s="6"/>
      <c r="D77" s="4"/>
      <c r="E77" s="12"/>
      <c r="F77" s="6"/>
      <c r="G77" s="4"/>
      <c r="H77" s="14"/>
      <c r="I77" s="11" t="str">
        <f>IF(A77="",IF(COUNTA(B77:H77)&gt;0,"MISSING ID",""),IF(COUNTIFS($A$6:$A$305,A77,$B$6:$B$305,B77)&lt;&gt;1,"DUPLICATE CASE/STAGE",IF(AND(B77&lt;&gt;"INITIAL",B77&lt;&gt;"RECON",B77&lt;&gt;"HEARING"),"UNKNOWN STAGE",IF(OR(NOT(ISNUMBER(C77)),C77&gt;Assumptions!$B$5,NOT(ISNUMBER(F77)),F77&lt;C77,F77&gt;Assumptions!$B$5),"INVALID DATES",IF(AND(D77&lt;&gt;"FAVORABLE",D77&lt;&gt;"OTHER"),"UNKNOWN OUTCOME",IF(OR(NOT(ISNUMBER(E77)),E77&lt;0,G77&lt;&gt;"YES"),"INCOMPLETE FEES","OK"))))))</f>
        <v/>
      </c>
      <c r="J77" s="1"/>
      <c r="K77" s="1"/>
      <c r="L77" s="1"/>
      <c r="M77" s="1"/>
      <c r="N77" s="1"/>
      <c r="O77" s="1"/>
    </row>
    <row r="78" spans="1:15" ht="32" customHeight="1">
      <c r="A78" s="4"/>
      <c r="B78" s="4"/>
      <c r="C78" s="6"/>
      <c r="D78" s="4"/>
      <c r="E78" s="12"/>
      <c r="F78" s="6"/>
      <c r="G78" s="4"/>
      <c r="H78" s="14"/>
      <c r="I78" s="11" t="str">
        <f>IF(A78="",IF(COUNTA(B78:H78)&gt;0,"MISSING ID",""),IF(COUNTIFS($A$6:$A$305,A78,$B$6:$B$305,B78)&lt;&gt;1,"DUPLICATE CASE/STAGE",IF(AND(B78&lt;&gt;"INITIAL",B78&lt;&gt;"RECON",B78&lt;&gt;"HEARING"),"UNKNOWN STAGE",IF(OR(NOT(ISNUMBER(C78)),C78&gt;Assumptions!$B$5,NOT(ISNUMBER(F78)),F78&lt;C78,F78&gt;Assumptions!$B$5),"INVALID DATES",IF(AND(D78&lt;&gt;"FAVORABLE",D78&lt;&gt;"OTHER"),"UNKNOWN OUTCOME",IF(OR(NOT(ISNUMBER(E78)),E78&lt;0,G78&lt;&gt;"YES"),"INCOMPLETE FEES","OK"))))))</f>
        <v/>
      </c>
      <c r="J78" s="1"/>
      <c r="K78" s="1"/>
      <c r="L78" s="1"/>
      <c r="M78" s="1"/>
      <c r="N78" s="1"/>
      <c r="O78" s="1"/>
    </row>
    <row r="79" spans="1:15" ht="32" customHeight="1">
      <c r="A79" s="4"/>
      <c r="B79" s="4"/>
      <c r="C79" s="6"/>
      <c r="D79" s="4"/>
      <c r="E79" s="12"/>
      <c r="F79" s="6"/>
      <c r="G79" s="4"/>
      <c r="H79" s="14"/>
      <c r="I79" s="11" t="str">
        <f>IF(A79="",IF(COUNTA(B79:H79)&gt;0,"MISSING ID",""),IF(COUNTIFS($A$6:$A$305,A79,$B$6:$B$305,B79)&lt;&gt;1,"DUPLICATE CASE/STAGE",IF(AND(B79&lt;&gt;"INITIAL",B79&lt;&gt;"RECON",B79&lt;&gt;"HEARING"),"UNKNOWN STAGE",IF(OR(NOT(ISNUMBER(C79)),C79&gt;Assumptions!$B$5,NOT(ISNUMBER(F79)),F79&lt;C79,F79&gt;Assumptions!$B$5),"INVALID DATES",IF(AND(D79&lt;&gt;"FAVORABLE",D79&lt;&gt;"OTHER"),"UNKNOWN OUTCOME",IF(OR(NOT(ISNUMBER(E79)),E79&lt;0,G79&lt;&gt;"YES"),"INCOMPLETE FEES","OK"))))))</f>
        <v/>
      </c>
      <c r="J79" s="1"/>
      <c r="K79" s="1"/>
      <c r="L79" s="1"/>
      <c r="M79" s="1"/>
      <c r="N79" s="1"/>
      <c r="O79" s="1"/>
    </row>
    <row r="80" spans="1:15" ht="32" customHeight="1">
      <c r="A80" s="4"/>
      <c r="B80" s="4"/>
      <c r="C80" s="6"/>
      <c r="D80" s="4"/>
      <c r="E80" s="12"/>
      <c r="F80" s="6"/>
      <c r="G80" s="4"/>
      <c r="H80" s="14"/>
      <c r="I80" s="11" t="str">
        <f>IF(A80="",IF(COUNTA(B80:H80)&gt;0,"MISSING ID",""),IF(COUNTIFS($A$6:$A$305,A80,$B$6:$B$305,B80)&lt;&gt;1,"DUPLICATE CASE/STAGE",IF(AND(B80&lt;&gt;"INITIAL",B80&lt;&gt;"RECON",B80&lt;&gt;"HEARING"),"UNKNOWN STAGE",IF(OR(NOT(ISNUMBER(C80)),C80&gt;Assumptions!$B$5,NOT(ISNUMBER(F80)),F80&lt;C80,F80&gt;Assumptions!$B$5),"INVALID DATES",IF(AND(D80&lt;&gt;"FAVORABLE",D80&lt;&gt;"OTHER"),"UNKNOWN OUTCOME",IF(OR(NOT(ISNUMBER(E80)),E80&lt;0,G80&lt;&gt;"YES"),"INCOMPLETE FEES","OK"))))))</f>
        <v/>
      </c>
      <c r="J80" s="1"/>
      <c r="K80" s="1"/>
      <c r="L80" s="1"/>
      <c r="M80" s="1"/>
      <c r="N80" s="1"/>
      <c r="O80" s="1"/>
    </row>
    <row r="81" spans="1:15" ht="32" customHeight="1">
      <c r="A81" s="4"/>
      <c r="B81" s="4"/>
      <c r="C81" s="6"/>
      <c r="D81" s="4"/>
      <c r="E81" s="12"/>
      <c r="F81" s="6"/>
      <c r="G81" s="4"/>
      <c r="H81" s="14"/>
      <c r="I81" s="11" t="str">
        <f>IF(A81="",IF(COUNTA(B81:H81)&gt;0,"MISSING ID",""),IF(COUNTIFS($A$6:$A$305,A81,$B$6:$B$305,B81)&lt;&gt;1,"DUPLICATE CASE/STAGE",IF(AND(B81&lt;&gt;"INITIAL",B81&lt;&gt;"RECON",B81&lt;&gt;"HEARING"),"UNKNOWN STAGE",IF(OR(NOT(ISNUMBER(C81)),C81&gt;Assumptions!$B$5,NOT(ISNUMBER(F81)),F81&lt;C81,F81&gt;Assumptions!$B$5),"INVALID DATES",IF(AND(D81&lt;&gt;"FAVORABLE",D81&lt;&gt;"OTHER"),"UNKNOWN OUTCOME",IF(OR(NOT(ISNUMBER(E81)),E81&lt;0,G81&lt;&gt;"YES"),"INCOMPLETE FEES","OK"))))))</f>
        <v/>
      </c>
      <c r="J81" s="1"/>
      <c r="K81" s="1"/>
      <c r="L81" s="1"/>
      <c r="M81" s="1"/>
      <c r="N81" s="1"/>
      <c r="O81" s="1"/>
    </row>
    <row r="82" spans="1:15" ht="32" customHeight="1">
      <c r="A82" s="4"/>
      <c r="B82" s="4"/>
      <c r="C82" s="6"/>
      <c r="D82" s="4"/>
      <c r="E82" s="12"/>
      <c r="F82" s="6"/>
      <c r="G82" s="4"/>
      <c r="H82" s="14"/>
      <c r="I82" s="11" t="str">
        <f>IF(A82="",IF(COUNTA(B82:H82)&gt;0,"MISSING ID",""),IF(COUNTIFS($A$6:$A$305,A82,$B$6:$B$305,B82)&lt;&gt;1,"DUPLICATE CASE/STAGE",IF(AND(B82&lt;&gt;"INITIAL",B82&lt;&gt;"RECON",B82&lt;&gt;"HEARING"),"UNKNOWN STAGE",IF(OR(NOT(ISNUMBER(C82)),C82&gt;Assumptions!$B$5,NOT(ISNUMBER(F82)),F82&lt;C82,F82&gt;Assumptions!$B$5),"INVALID DATES",IF(AND(D82&lt;&gt;"FAVORABLE",D82&lt;&gt;"OTHER"),"UNKNOWN OUTCOME",IF(OR(NOT(ISNUMBER(E82)),E82&lt;0,G82&lt;&gt;"YES"),"INCOMPLETE FEES","OK"))))))</f>
        <v/>
      </c>
      <c r="J82" s="1"/>
      <c r="K82" s="1"/>
      <c r="L82" s="1"/>
      <c r="M82" s="1"/>
      <c r="N82" s="1"/>
      <c r="O82" s="1"/>
    </row>
    <row r="83" spans="1:15" ht="32" customHeight="1">
      <c r="A83" s="4"/>
      <c r="B83" s="4"/>
      <c r="C83" s="6"/>
      <c r="D83" s="4"/>
      <c r="E83" s="12"/>
      <c r="F83" s="6"/>
      <c r="G83" s="4"/>
      <c r="H83" s="14"/>
      <c r="I83" s="11" t="str">
        <f>IF(A83="",IF(COUNTA(B83:H83)&gt;0,"MISSING ID",""),IF(COUNTIFS($A$6:$A$305,A83,$B$6:$B$305,B83)&lt;&gt;1,"DUPLICATE CASE/STAGE",IF(AND(B83&lt;&gt;"INITIAL",B83&lt;&gt;"RECON",B83&lt;&gt;"HEARING"),"UNKNOWN STAGE",IF(OR(NOT(ISNUMBER(C83)),C83&gt;Assumptions!$B$5,NOT(ISNUMBER(F83)),F83&lt;C83,F83&gt;Assumptions!$B$5),"INVALID DATES",IF(AND(D83&lt;&gt;"FAVORABLE",D83&lt;&gt;"OTHER"),"UNKNOWN OUTCOME",IF(OR(NOT(ISNUMBER(E83)),E83&lt;0,G83&lt;&gt;"YES"),"INCOMPLETE FEES","OK"))))))</f>
        <v/>
      </c>
      <c r="J83" s="1"/>
      <c r="K83" s="1"/>
      <c r="L83" s="1"/>
      <c r="M83" s="1"/>
      <c r="N83" s="1"/>
      <c r="O83" s="1"/>
    </row>
    <row r="84" spans="1:15" ht="32" customHeight="1">
      <c r="A84" s="4"/>
      <c r="B84" s="4"/>
      <c r="C84" s="6"/>
      <c r="D84" s="4"/>
      <c r="E84" s="12"/>
      <c r="F84" s="6"/>
      <c r="G84" s="4"/>
      <c r="H84" s="14"/>
      <c r="I84" s="11" t="str">
        <f>IF(A84="",IF(COUNTA(B84:H84)&gt;0,"MISSING ID",""),IF(COUNTIFS($A$6:$A$305,A84,$B$6:$B$305,B84)&lt;&gt;1,"DUPLICATE CASE/STAGE",IF(AND(B84&lt;&gt;"INITIAL",B84&lt;&gt;"RECON",B84&lt;&gt;"HEARING"),"UNKNOWN STAGE",IF(OR(NOT(ISNUMBER(C84)),C84&gt;Assumptions!$B$5,NOT(ISNUMBER(F84)),F84&lt;C84,F84&gt;Assumptions!$B$5),"INVALID DATES",IF(AND(D84&lt;&gt;"FAVORABLE",D84&lt;&gt;"OTHER"),"UNKNOWN OUTCOME",IF(OR(NOT(ISNUMBER(E84)),E84&lt;0,G84&lt;&gt;"YES"),"INCOMPLETE FEES","OK"))))))</f>
        <v/>
      </c>
      <c r="J84" s="1"/>
      <c r="K84" s="1"/>
      <c r="L84" s="1"/>
      <c r="M84" s="1"/>
      <c r="N84" s="1"/>
      <c r="O84" s="1"/>
    </row>
    <row r="85" spans="1:15" ht="32" customHeight="1">
      <c r="A85" s="4"/>
      <c r="B85" s="4"/>
      <c r="C85" s="6"/>
      <c r="D85" s="4"/>
      <c r="E85" s="12"/>
      <c r="F85" s="6"/>
      <c r="G85" s="4"/>
      <c r="H85" s="14"/>
      <c r="I85" s="11" t="str">
        <f>IF(A85="",IF(COUNTA(B85:H85)&gt;0,"MISSING ID",""),IF(COUNTIFS($A$6:$A$305,A85,$B$6:$B$305,B85)&lt;&gt;1,"DUPLICATE CASE/STAGE",IF(AND(B85&lt;&gt;"INITIAL",B85&lt;&gt;"RECON",B85&lt;&gt;"HEARING"),"UNKNOWN STAGE",IF(OR(NOT(ISNUMBER(C85)),C85&gt;Assumptions!$B$5,NOT(ISNUMBER(F85)),F85&lt;C85,F85&gt;Assumptions!$B$5),"INVALID DATES",IF(AND(D85&lt;&gt;"FAVORABLE",D85&lt;&gt;"OTHER"),"UNKNOWN OUTCOME",IF(OR(NOT(ISNUMBER(E85)),E85&lt;0,G85&lt;&gt;"YES"),"INCOMPLETE FEES","OK"))))))</f>
        <v/>
      </c>
      <c r="J85" s="1"/>
      <c r="K85" s="1"/>
      <c r="L85" s="1"/>
      <c r="M85" s="1"/>
      <c r="N85" s="1"/>
      <c r="O85" s="1"/>
    </row>
    <row r="86" spans="1:15" ht="32" customHeight="1">
      <c r="A86" s="4"/>
      <c r="B86" s="4"/>
      <c r="C86" s="6"/>
      <c r="D86" s="4"/>
      <c r="E86" s="12"/>
      <c r="F86" s="6"/>
      <c r="G86" s="4"/>
      <c r="H86" s="14"/>
      <c r="I86" s="11" t="str">
        <f>IF(A86="",IF(COUNTA(B86:H86)&gt;0,"MISSING ID",""),IF(COUNTIFS($A$6:$A$305,A86,$B$6:$B$305,B86)&lt;&gt;1,"DUPLICATE CASE/STAGE",IF(AND(B86&lt;&gt;"INITIAL",B86&lt;&gt;"RECON",B86&lt;&gt;"HEARING"),"UNKNOWN STAGE",IF(OR(NOT(ISNUMBER(C86)),C86&gt;Assumptions!$B$5,NOT(ISNUMBER(F86)),F86&lt;C86,F86&gt;Assumptions!$B$5),"INVALID DATES",IF(AND(D86&lt;&gt;"FAVORABLE",D86&lt;&gt;"OTHER"),"UNKNOWN OUTCOME",IF(OR(NOT(ISNUMBER(E86)),E86&lt;0,G86&lt;&gt;"YES"),"INCOMPLETE FEES","OK"))))))</f>
        <v/>
      </c>
      <c r="J86" s="1"/>
      <c r="K86" s="1"/>
      <c r="L86" s="1"/>
      <c r="M86" s="1"/>
      <c r="N86" s="1"/>
      <c r="O86" s="1"/>
    </row>
    <row r="87" spans="1:15" ht="32" customHeight="1">
      <c r="A87" s="4"/>
      <c r="B87" s="4"/>
      <c r="C87" s="6"/>
      <c r="D87" s="4"/>
      <c r="E87" s="12"/>
      <c r="F87" s="6"/>
      <c r="G87" s="4"/>
      <c r="H87" s="14"/>
      <c r="I87" s="11" t="str">
        <f>IF(A87="",IF(COUNTA(B87:H87)&gt;0,"MISSING ID",""),IF(COUNTIFS($A$6:$A$305,A87,$B$6:$B$305,B87)&lt;&gt;1,"DUPLICATE CASE/STAGE",IF(AND(B87&lt;&gt;"INITIAL",B87&lt;&gt;"RECON",B87&lt;&gt;"HEARING"),"UNKNOWN STAGE",IF(OR(NOT(ISNUMBER(C87)),C87&gt;Assumptions!$B$5,NOT(ISNUMBER(F87)),F87&lt;C87,F87&gt;Assumptions!$B$5),"INVALID DATES",IF(AND(D87&lt;&gt;"FAVORABLE",D87&lt;&gt;"OTHER"),"UNKNOWN OUTCOME",IF(OR(NOT(ISNUMBER(E87)),E87&lt;0,G87&lt;&gt;"YES"),"INCOMPLETE FEES","OK"))))))</f>
        <v/>
      </c>
      <c r="J87" s="1"/>
      <c r="K87" s="1"/>
      <c r="L87" s="1"/>
      <c r="M87" s="1"/>
      <c r="N87" s="1"/>
      <c r="O87" s="1"/>
    </row>
    <row r="88" spans="1:15" ht="32" customHeight="1">
      <c r="A88" s="4"/>
      <c r="B88" s="4"/>
      <c r="C88" s="6"/>
      <c r="D88" s="4"/>
      <c r="E88" s="12"/>
      <c r="F88" s="6"/>
      <c r="G88" s="4"/>
      <c r="H88" s="14"/>
      <c r="I88" s="11" t="str">
        <f>IF(A88="",IF(COUNTA(B88:H88)&gt;0,"MISSING ID",""),IF(COUNTIFS($A$6:$A$305,A88,$B$6:$B$305,B88)&lt;&gt;1,"DUPLICATE CASE/STAGE",IF(AND(B88&lt;&gt;"INITIAL",B88&lt;&gt;"RECON",B88&lt;&gt;"HEARING"),"UNKNOWN STAGE",IF(OR(NOT(ISNUMBER(C88)),C88&gt;Assumptions!$B$5,NOT(ISNUMBER(F88)),F88&lt;C88,F88&gt;Assumptions!$B$5),"INVALID DATES",IF(AND(D88&lt;&gt;"FAVORABLE",D88&lt;&gt;"OTHER"),"UNKNOWN OUTCOME",IF(OR(NOT(ISNUMBER(E88)),E88&lt;0,G88&lt;&gt;"YES"),"INCOMPLETE FEES","OK"))))))</f>
        <v/>
      </c>
      <c r="J88" s="1"/>
      <c r="K88" s="1"/>
      <c r="L88" s="1"/>
      <c r="M88" s="1"/>
      <c r="N88" s="1"/>
      <c r="O88" s="1"/>
    </row>
    <row r="89" spans="1:15" ht="32" customHeight="1">
      <c r="A89" s="4"/>
      <c r="B89" s="4"/>
      <c r="C89" s="6"/>
      <c r="D89" s="4"/>
      <c r="E89" s="12"/>
      <c r="F89" s="6"/>
      <c r="G89" s="4"/>
      <c r="H89" s="14"/>
      <c r="I89" s="11" t="str">
        <f>IF(A89="",IF(COUNTA(B89:H89)&gt;0,"MISSING ID",""),IF(COUNTIFS($A$6:$A$305,A89,$B$6:$B$305,B89)&lt;&gt;1,"DUPLICATE CASE/STAGE",IF(AND(B89&lt;&gt;"INITIAL",B89&lt;&gt;"RECON",B89&lt;&gt;"HEARING"),"UNKNOWN STAGE",IF(OR(NOT(ISNUMBER(C89)),C89&gt;Assumptions!$B$5,NOT(ISNUMBER(F89)),F89&lt;C89,F89&gt;Assumptions!$B$5),"INVALID DATES",IF(AND(D89&lt;&gt;"FAVORABLE",D89&lt;&gt;"OTHER"),"UNKNOWN OUTCOME",IF(OR(NOT(ISNUMBER(E89)),E89&lt;0,G89&lt;&gt;"YES"),"INCOMPLETE FEES","OK"))))))</f>
        <v/>
      </c>
      <c r="J89" s="1"/>
      <c r="K89" s="1"/>
      <c r="L89" s="1"/>
      <c r="M89" s="1"/>
      <c r="N89" s="1"/>
      <c r="O89" s="1"/>
    </row>
    <row r="90" spans="1:15" ht="32" customHeight="1">
      <c r="A90" s="4"/>
      <c r="B90" s="4"/>
      <c r="C90" s="6"/>
      <c r="D90" s="4"/>
      <c r="E90" s="12"/>
      <c r="F90" s="6"/>
      <c r="G90" s="4"/>
      <c r="H90" s="14"/>
      <c r="I90" s="11" t="str">
        <f>IF(A90="",IF(COUNTA(B90:H90)&gt;0,"MISSING ID",""),IF(COUNTIFS($A$6:$A$305,A90,$B$6:$B$305,B90)&lt;&gt;1,"DUPLICATE CASE/STAGE",IF(AND(B90&lt;&gt;"INITIAL",B90&lt;&gt;"RECON",B90&lt;&gt;"HEARING"),"UNKNOWN STAGE",IF(OR(NOT(ISNUMBER(C90)),C90&gt;Assumptions!$B$5,NOT(ISNUMBER(F90)),F90&lt;C90,F90&gt;Assumptions!$B$5),"INVALID DATES",IF(AND(D90&lt;&gt;"FAVORABLE",D90&lt;&gt;"OTHER"),"UNKNOWN OUTCOME",IF(OR(NOT(ISNUMBER(E90)),E90&lt;0,G90&lt;&gt;"YES"),"INCOMPLETE FEES","OK"))))))</f>
        <v/>
      </c>
      <c r="J90" s="1"/>
      <c r="K90" s="1"/>
      <c r="L90" s="1"/>
      <c r="M90" s="1"/>
      <c r="N90" s="1"/>
      <c r="O90" s="1"/>
    </row>
    <row r="91" spans="1:15" ht="32" customHeight="1">
      <c r="A91" s="4"/>
      <c r="B91" s="4"/>
      <c r="C91" s="6"/>
      <c r="D91" s="4"/>
      <c r="E91" s="12"/>
      <c r="F91" s="6"/>
      <c r="G91" s="4"/>
      <c r="H91" s="14"/>
      <c r="I91" s="11" t="str">
        <f>IF(A91="",IF(COUNTA(B91:H91)&gt;0,"MISSING ID",""),IF(COUNTIFS($A$6:$A$305,A91,$B$6:$B$305,B91)&lt;&gt;1,"DUPLICATE CASE/STAGE",IF(AND(B91&lt;&gt;"INITIAL",B91&lt;&gt;"RECON",B91&lt;&gt;"HEARING"),"UNKNOWN STAGE",IF(OR(NOT(ISNUMBER(C91)),C91&gt;Assumptions!$B$5,NOT(ISNUMBER(F91)),F91&lt;C91,F91&gt;Assumptions!$B$5),"INVALID DATES",IF(AND(D91&lt;&gt;"FAVORABLE",D91&lt;&gt;"OTHER"),"UNKNOWN OUTCOME",IF(OR(NOT(ISNUMBER(E91)),E91&lt;0,G91&lt;&gt;"YES"),"INCOMPLETE FEES","OK"))))))</f>
        <v/>
      </c>
      <c r="J91" s="1"/>
      <c r="K91" s="1"/>
      <c r="L91" s="1"/>
      <c r="M91" s="1"/>
      <c r="N91" s="1"/>
      <c r="O91" s="1"/>
    </row>
    <row r="92" spans="1:15" ht="32" customHeight="1">
      <c r="A92" s="4"/>
      <c r="B92" s="4"/>
      <c r="C92" s="6"/>
      <c r="D92" s="4"/>
      <c r="E92" s="12"/>
      <c r="F92" s="6"/>
      <c r="G92" s="4"/>
      <c r="H92" s="14"/>
      <c r="I92" s="11" t="str">
        <f>IF(A92="",IF(COUNTA(B92:H92)&gt;0,"MISSING ID",""),IF(COUNTIFS($A$6:$A$305,A92,$B$6:$B$305,B92)&lt;&gt;1,"DUPLICATE CASE/STAGE",IF(AND(B92&lt;&gt;"INITIAL",B92&lt;&gt;"RECON",B92&lt;&gt;"HEARING"),"UNKNOWN STAGE",IF(OR(NOT(ISNUMBER(C92)),C92&gt;Assumptions!$B$5,NOT(ISNUMBER(F92)),F92&lt;C92,F92&gt;Assumptions!$B$5),"INVALID DATES",IF(AND(D92&lt;&gt;"FAVORABLE",D92&lt;&gt;"OTHER"),"UNKNOWN OUTCOME",IF(OR(NOT(ISNUMBER(E92)),E92&lt;0,G92&lt;&gt;"YES"),"INCOMPLETE FEES","OK"))))))</f>
        <v/>
      </c>
      <c r="J92" s="1"/>
      <c r="K92" s="1"/>
      <c r="L92" s="1"/>
      <c r="M92" s="1"/>
      <c r="N92" s="1"/>
      <c r="O92" s="1"/>
    </row>
    <row r="93" spans="1:15" ht="32" customHeight="1">
      <c r="A93" s="4"/>
      <c r="B93" s="4"/>
      <c r="C93" s="6"/>
      <c r="D93" s="4"/>
      <c r="E93" s="12"/>
      <c r="F93" s="6"/>
      <c r="G93" s="4"/>
      <c r="H93" s="14"/>
      <c r="I93" s="11" t="str">
        <f>IF(A93="",IF(COUNTA(B93:H93)&gt;0,"MISSING ID",""),IF(COUNTIFS($A$6:$A$305,A93,$B$6:$B$305,B93)&lt;&gt;1,"DUPLICATE CASE/STAGE",IF(AND(B93&lt;&gt;"INITIAL",B93&lt;&gt;"RECON",B93&lt;&gt;"HEARING"),"UNKNOWN STAGE",IF(OR(NOT(ISNUMBER(C93)),C93&gt;Assumptions!$B$5,NOT(ISNUMBER(F93)),F93&lt;C93,F93&gt;Assumptions!$B$5),"INVALID DATES",IF(AND(D93&lt;&gt;"FAVORABLE",D93&lt;&gt;"OTHER"),"UNKNOWN OUTCOME",IF(OR(NOT(ISNUMBER(E93)),E93&lt;0,G93&lt;&gt;"YES"),"INCOMPLETE FEES","OK"))))))</f>
        <v/>
      </c>
      <c r="J93" s="1"/>
      <c r="K93" s="1"/>
      <c r="L93" s="1"/>
      <c r="M93" s="1"/>
      <c r="N93" s="1"/>
      <c r="O93" s="1"/>
    </row>
    <row r="94" spans="1:15" ht="32" customHeight="1">
      <c r="A94" s="4"/>
      <c r="B94" s="4"/>
      <c r="C94" s="6"/>
      <c r="D94" s="4"/>
      <c r="E94" s="12"/>
      <c r="F94" s="6"/>
      <c r="G94" s="4"/>
      <c r="H94" s="14"/>
      <c r="I94" s="11" t="str">
        <f>IF(A94="",IF(COUNTA(B94:H94)&gt;0,"MISSING ID",""),IF(COUNTIFS($A$6:$A$305,A94,$B$6:$B$305,B94)&lt;&gt;1,"DUPLICATE CASE/STAGE",IF(AND(B94&lt;&gt;"INITIAL",B94&lt;&gt;"RECON",B94&lt;&gt;"HEARING"),"UNKNOWN STAGE",IF(OR(NOT(ISNUMBER(C94)),C94&gt;Assumptions!$B$5,NOT(ISNUMBER(F94)),F94&lt;C94,F94&gt;Assumptions!$B$5),"INVALID DATES",IF(AND(D94&lt;&gt;"FAVORABLE",D94&lt;&gt;"OTHER"),"UNKNOWN OUTCOME",IF(OR(NOT(ISNUMBER(E94)),E94&lt;0,G94&lt;&gt;"YES"),"INCOMPLETE FEES","OK"))))))</f>
        <v/>
      </c>
      <c r="J94" s="1"/>
      <c r="K94" s="1"/>
      <c r="L94" s="1"/>
      <c r="M94" s="1"/>
      <c r="N94" s="1"/>
      <c r="O94" s="1"/>
    </row>
    <row r="95" spans="1:15" ht="32" customHeight="1">
      <c r="A95" s="4"/>
      <c r="B95" s="4"/>
      <c r="C95" s="6"/>
      <c r="D95" s="4"/>
      <c r="E95" s="12"/>
      <c r="F95" s="6"/>
      <c r="G95" s="4"/>
      <c r="H95" s="14"/>
      <c r="I95" s="11" t="str">
        <f>IF(A95="",IF(COUNTA(B95:H95)&gt;0,"MISSING ID",""),IF(COUNTIFS($A$6:$A$305,A95,$B$6:$B$305,B95)&lt;&gt;1,"DUPLICATE CASE/STAGE",IF(AND(B95&lt;&gt;"INITIAL",B95&lt;&gt;"RECON",B95&lt;&gt;"HEARING"),"UNKNOWN STAGE",IF(OR(NOT(ISNUMBER(C95)),C95&gt;Assumptions!$B$5,NOT(ISNUMBER(F95)),F95&lt;C95,F95&gt;Assumptions!$B$5),"INVALID DATES",IF(AND(D95&lt;&gt;"FAVORABLE",D95&lt;&gt;"OTHER"),"UNKNOWN OUTCOME",IF(OR(NOT(ISNUMBER(E95)),E95&lt;0,G95&lt;&gt;"YES"),"INCOMPLETE FEES","OK"))))))</f>
        <v/>
      </c>
      <c r="J95" s="1"/>
      <c r="K95" s="1"/>
      <c r="L95" s="1"/>
      <c r="M95" s="1"/>
      <c r="N95" s="1"/>
      <c r="O95" s="1"/>
    </row>
    <row r="96" spans="1:15" ht="32" customHeight="1">
      <c r="A96" s="4"/>
      <c r="B96" s="4"/>
      <c r="C96" s="6"/>
      <c r="D96" s="4"/>
      <c r="E96" s="12"/>
      <c r="F96" s="6"/>
      <c r="G96" s="4"/>
      <c r="H96" s="14"/>
      <c r="I96" s="11" t="str">
        <f>IF(A96="",IF(COUNTA(B96:H96)&gt;0,"MISSING ID",""),IF(COUNTIFS($A$6:$A$305,A96,$B$6:$B$305,B96)&lt;&gt;1,"DUPLICATE CASE/STAGE",IF(AND(B96&lt;&gt;"INITIAL",B96&lt;&gt;"RECON",B96&lt;&gt;"HEARING"),"UNKNOWN STAGE",IF(OR(NOT(ISNUMBER(C96)),C96&gt;Assumptions!$B$5,NOT(ISNUMBER(F96)),F96&lt;C96,F96&gt;Assumptions!$B$5),"INVALID DATES",IF(AND(D96&lt;&gt;"FAVORABLE",D96&lt;&gt;"OTHER"),"UNKNOWN OUTCOME",IF(OR(NOT(ISNUMBER(E96)),E96&lt;0,G96&lt;&gt;"YES"),"INCOMPLETE FEES","OK"))))))</f>
        <v/>
      </c>
      <c r="J96" s="1"/>
      <c r="K96" s="1"/>
      <c r="L96" s="1"/>
      <c r="M96" s="1"/>
      <c r="N96" s="1"/>
      <c r="O96" s="1"/>
    </row>
    <row r="97" spans="1:15" ht="32" customHeight="1">
      <c r="A97" s="4"/>
      <c r="B97" s="4"/>
      <c r="C97" s="6"/>
      <c r="D97" s="4"/>
      <c r="E97" s="12"/>
      <c r="F97" s="6"/>
      <c r="G97" s="4"/>
      <c r="H97" s="14"/>
      <c r="I97" s="11" t="str">
        <f>IF(A97="",IF(COUNTA(B97:H97)&gt;0,"MISSING ID",""),IF(COUNTIFS($A$6:$A$305,A97,$B$6:$B$305,B97)&lt;&gt;1,"DUPLICATE CASE/STAGE",IF(AND(B97&lt;&gt;"INITIAL",B97&lt;&gt;"RECON",B97&lt;&gt;"HEARING"),"UNKNOWN STAGE",IF(OR(NOT(ISNUMBER(C97)),C97&gt;Assumptions!$B$5,NOT(ISNUMBER(F97)),F97&lt;C97,F97&gt;Assumptions!$B$5),"INVALID DATES",IF(AND(D97&lt;&gt;"FAVORABLE",D97&lt;&gt;"OTHER"),"UNKNOWN OUTCOME",IF(OR(NOT(ISNUMBER(E97)),E97&lt;0,G97&lt;&gt;"YES"),"INCOMPLETE FEES","OK"))))))</f>
        <v/>
      </c>
      <c r="J97" s="1"/>
      <c r="K97" s="1"/>
      <c r="L97" s="1"/>
      <c r="M97" s="1"/>
      <c r="N97" s="1"/>
      <c r="O97" s="1"/>
    </row>
    <row r="98" spans="1:15" ht="32" customHeight="1">
      <c r="A98" s="4"/>
      <c r="B98" s="4"/>
      <c r="C98" s="6"/>
      <c r="D98" s="4"/>
      <c r="E98" s="12"/>
      <c r="F98" s="6"/>
      <c r="G98" s="4"/>
      <c r="H98" s="14"/>
      <c r="I98" s="11" t="str">
        <f>IF(A98="",IF(COUNTA(B98:H98)&gt;0,"MISSING ID",""),IF(COUNTIFS($A$6:$A$305,A98,$B$6:$B$305,B98)&lt;&gt;1,"DUPLICATE CASE/STAGE",IF(AND(B98&lt;&gt;"INITIAL",B98&lt;&gt;"RECON",B98&lt;&gt;"HEARING"),"UNKNOWN STAGE",IF(OR(NOT(ISNUMBER(C98)),C98&gt;Assumptions!$B$5,NOT(ISNUMBER(F98)),F98&lt;C98,F98&gt;Assumptions!$B$5),"INVALID DATES",IF(AND(D98&lt;&gt;"FAVORABLE",D98&lt;&gt;"OTHER"),"UNKNOWN OUTCOME",IF(OR(NOT(ISNUMBER(E98)),E98&lt;0,G98&lt;&gt;"YES"),"INCOMPLETE FEES","OK"))))))</f>
        <v/>
      </c>
      <c r="J98" s="1"/>
      <c r="K98" s="1"/>
      <c r="L98" s="1"/>
      <c r="M98" s="1"/>
      <c r="N98" s="1"/>
      <c r="O98" s="1"/>
    </row>
    <row r="99" spans="1:15" ht="32" customHeight="1">
      <c r="A99" s="4"/>
      <c r="B99" s="4"/>
      <c r="C99" s="6"/>
      <c r="D99" s="4"/>
      <c r="E99" s="12"/>
      <c r="F99" s="6"/>
      <c r="G99" s="4"/>
      <c r="H99" s="14"/>
      <c r="I99" s="11" t="str">
        <f>IF(A99="",IF(COUNTA(B99:H99)&gt;0,"MISSING ID",""),IF(COUNTIFS($A$6:$A$305,A99,$B$6:$B$305,B99)&lt;&gt;1,"DUPLICATE CASE/STAGE",IF(AND(B99&lt;&gt;"INITIAL",B99&lt;&gt;"RECON",B99&lt;&gt;"HEARING"),"UNKNOWN STAGE",IF(OR(NOT(ISNUMBER(C99)),C99&gt;Assumptions!$B$5,NOT(ISNUMBER(F99)),F99&lt;C99,F99&gt;Assumptions!$B$5),"INVALID DATES",IF(AND(D99&lt;&gt;"FAVORABLE",D99&lt;&gt;"OTHER"),"UNKNOWN OUTCOME",IF(OR(NOT(ISNUMBER(E99)),E99&lt;0,G99&lt;&gt;"YES"),"INCOMPLETE FEES","OK"))))))</f>
        <v/>
      </c>
      <c r="J99" s="1"/>
      <c r="K99" s="1"/>
      <c r="L99" s="1"/>
      <c r="M99" s="1"/>
      <c r="N99" s="1"/>
      <c r="O99" s="1"/>
    </row>
    <row r="100" spans="1:15" ht="32" customHeight="1">
      <c r="A100" s="4"/>
      <c r="B100" s="4"/>
      <c r="C100" s="6"/>
      <c r="D100" s="4"/>
      <c r="E100" s="12"/>
      <c r="F100" s="6"/>
      <c r="G100" s="4"/>
      <c r="H100" s="14"/>
      <c r="I100" s="11" t="str">
        <f>IF(A100="",IF(COUNTA(B100:H100)&gt;0,"MISSING ID",""),IF(COUNTIFS($A$6:$A$305,A100,$B$6:$B$305,B100)&lt;&gt;1,"DUPLICATE CASE/STAGE",IF(AND(B100&lt;&gt;"INITIAL",B100&lt;&gt;"RECON",B100&lt;&gt;"HEARING"),"UNKNOWN STAGE",IF(OR(NOT(ISNUMBER(C100)),C100&gt;Assumptions!$B$5,NOT(ISNUMBER(F100)),F100&lt;C100,F100&gt;Assumptions!$B$5),"INVALID DATES",IF(AND(D100&lt;&gt;"FAVORABLE",D100&lt;&gt;"OTHER"),"UNKNOWN OUTCOME",IF(OR(NOT(ISNUMBER(E100)),E100&lt;0,G100&lt;&gt;"YES"),"INCOMPLETE FEES","OK"))))))</f>
        <v/>
      </c>
      <c r="J100" s="1"/>
      <c r="K100" s="1"/>
      <c r="L100" s="1"/>
      <c r="M100" s="1"/>
      <c r="N100" s="1"/>
      <c r="O100" s="1"/>
    </row>
    <row r="101" spans="1:15" ht="32" customHeight="1">
      <c r="A101" s="4"/>
      <c r="B101" s="4"/>
      <c r="C101" s="6"/>
      <c r="D101" s="4"/>
      <c r="E101" s="12"/>
      <c r="F101" s="6"/>
      <c r="G101" s="4"/>
      <c r="H101" s="14"/>
      <c r="I101" s="11" t="str">
        <f>IF(A101="",IF(COUNTA(B101:H101)&gt;0,"MISSING ID",""),IF(COUNTIFS($A$6:$A$305,A101,$B$6:$B$305,B101)&lt;&gt;1,"DUPLICATE CASE/STAGE",IF(AND(B101&lt;&gt;"INITIAL",B101&lt;&gt;"RECON",B101&lt;&gt;"HEARING"),"UNKNOWN STAGE",IF(OR(NOT(ISNUMBER(C101)),C101&gt;Assumptions!$B$5,NOT(ISNUMBER(F101)),F101&lt;C101,F101&gt;Assumptions!$B$5),"INVALID DATES",IF(AND(D101&lt;&gt;"FAVORABLE",D101&lt;&gt;"OTHER"),"UNKNOWN OUTCOME",IF(OR(NOT(ISNUMBER(E101)),E101&lt;0,G101&lt;&gt;"YES"),"INCOMPLETE FEES","OK"))))))</f>
        <v/>
      </c>
      <c r="J101" s="1"/>
      <c r="K101" s="1"/>
      <c r="L101" s="1"/>
      <c r="M101" s="1"/>
      <c r="N101" s="1"/>
      <c r="O101" s="1"/>
    </row>
    <row r="102" spans="1:15" ht="32" customHeight="1">
      <c r="A102" s="4"/>
      <c r="B102" s="4"/>
      <c r="C102" s="6"/>
      <c r="D102" s="4"/>
      <c r="E102" s="12"/>
      <c r="F102" s="6"/>
      <c r="G102" s="4"/>
      <c r="H102" s="14"/>
      <c r="I102" s="11" t="str">
        <f>IF(A102="",IF(COUNTA(B102:H102)&gt;0,"MISSING ID",""),IF(COUNTIFS($A$6:$A$305,A102,$B$6:$B$305,B102)&lt;&gt;1,"DUPLICATE CASE/STAGE",IF(AND(B102&lt;&gt;"INITIAL",B102&lt;&gt;"RECON",B102&lt;&gt;"HEARING"),"UNKNOWN STAGE",IF(OR(NOT(ISNUMBER(C102)),C102&gt;Assumptions!$B$5,NOT(ISNUMBER(F102)),F102&lt;C102,F102&gt;Assumptions!$B$5),"INVALID DATES",IF(AND(D102&lt;&gt;"FAVORABLE",D102&lt;&gt;"OTHER"),"UNKNOWN OUTCOME",IF(OR(NOT(ISNUMBER(E102)),E102&lt;0,G102&lt;&gt;"YES"),"INCOMPLETE FEES","OK"))))))</f>
        <v/>
      </c>
      <c r="J102" s="1"/>
      <c r="K102" s="1"/>
      <c r="L102" s="1"/>
      <c r="M102" s="1"/>
      <c r="N102" s="1"/>
      <c r="O102" s="1"/>
    </row>
    <row r="103" spans="1:15" ht="32" customHeight="1">
      <c r="A103" s="4"/>
      <c r="B103" s="4"/>
      <c r="C103" s="6"/>
      <c r="D103" s="4"/>
      <c r="E103" s="12"/>
      <c r="F103" s="6"/>
      <c r="G103" s="4"/>
      <c r="H103" s="14"/>
      <c r="I103" s="11" t="str">
        <f>IF(A103="",IF(COUNTA(B103:H103)&gt;0,"MISSING ID",""),IF(COUNTIFS($A$6:$A$305,A103,$B$6:$B$305,B103)&lt;&gt;1,"DUPLICATE CASE/STAGE",IF(AND(B103&lt;&gt;"INITIAL",B103&lt;&gt;"RECON",B103&lt;&gt;"HEARING"),"UNKNOWN STAGE",IF(OR(NOT(ISNUMBER(C103)),C103&gt;Assumptions!$B$5,NOT(ISNUMBER(F103)),F103&lt;C103,F103&gt;Assumptions!$B$5),"INVALID DATES",IF(AND(D103&lt;&gt;"FAVORABLE",D103&lt;&gt;"OTHER"),"UNKNOWN OUTCOME",IF(OR(NOT(ISNUMBER(E103)),E103&lt;0,G103&lt;&gt;"YES"),"INCOMPLETE FEES","OK"))))))</f>
        <v/>
      </c>
      <c r="J103" s="1"/>
      <c r="K103" s="1"/>
      <c r="L103" s="1"/>
      <c r="M103" s="1"/>
      <c r="N103" s="1"/>
      <c r="O103" s="1"/>
    </row>
    <row r="104" spans="1:15" ht="32" customHeight="1">
      <c r="A104" s="4"/>
      <c r="B104" s="4"/>
      <c r="C104" s="6"/>
      <c r="D104" s="4"/>
      <c r="E104" s="12"/>
      <c r="F104" s="6"/>
      <c r="G104" s="4"/>
      <c r="H104" s="14"/>
      <c r="I104" s="11" t="str">
        <f>IF(A104="",IF(COUNTA(B104:H104)&gt;0,"MISSING ID",""),IF(COUNTIFS($A$6:$A$305,A104,$B$6:$B$305,B104)&lt;&gt;1,"DUPLICATE CASE/STAGE",IF(AND(B104&lt;&gt;"INITIAL",B104&lt;&gt;"RECON",B104&lt;&gt;"HEARING"),"UNKNOWN STAGE",IF(OR(NOT(ISNUMBER(C104)),C104&gt;Assumptions!$B$5,NOT(ISNUMBER(F104)),F104&lt;C104,F104&gt;Assumptions!$B$5),"INVALID DATES",IF(AND(D104&lt;&gt;"FAVORABLE",D104&lt;&gt;"OTHER"),"UNKNOWN OUTCOME",IF(OR(NOT(ISNUMBER(E104)),E104&lt;0,G104&lt;&gt;"YES"),"INCOMPLETE FEES","OK"))))))</f>
        <v/>
      </c>
      <c r="J104" s="1"/>
      <c r="K104" s="1"/>
      <c r="L104" s="1"/>
      <c r="M104" s="1"/>
      <c r="N104" s="1"/>
      <c r="O104" s="1"/>
    </row>
    <row r="105" spans="1:15" ht="32" customHeight="1">
      <c r="A105" s="4"/>
      <c r="B105" s="4"/>
      <c r="C105" s="6"/>
      <c r="D105" s="4"/>
      <c r="E105" s="12"/>
      <c r="F105" s="6"/>
      <c r="G105" s="4"/>
      <c r="H105" s="14"/>
      <c r="I105" s="11" t="str">
        <f>IF(A105="",IF(COUNTA(B105:H105)&gt;0,"MISSING ID",""),IF(COUNTIFS($A$6:$A$305,A105,$B$6:$B$305,B105)&lt;&gt;1,"DUPLICATE CASE/STAGE",IF(AND(B105&lt;&gt;"INITIAL",B105&lt;&gt;"RECON",B105&lt;&gt;"HEARING"),"UNKNOWN STAGE",IF(OR(NOT(ISNUMBER(C105)),C105&gt;Assumptions!$B$5,NOT(ISNUMBER(F105)),F105&lt;C105,F105&gt;Assumptions!$B$5),"INVALID DATES",IF(AND(D105&lt;&gt;"FAVORABLE",D105&lt;&gt;"OTHER"),"UNKNOWN OUTCOME",IF(OR(NOT(ISNUMBER(E105)),E105&lt;0,G105&lt;&gt;"YES"),"INCOMPLETE FEES","OK"))))))</f>
        <v/>
      </c>
      <c r="J105" s="1"/>
      <c r="K105" s="1"/>
      <c r="L105" s="1"/>
      <c r="M105" s="1"/>
      <c r="N105" s="1"/>
      <c r="O105" s="1"/>
    </row>
    <row r="106" spans="1:15" ht="32" customHeight="1">
      <c r="A106" s="4"/>
      <c r="B106" s="4"/>
      <c r="C106" s="6"/>
      <c r="D106" s="4"/>
      <c r="E106" s="12"/>
      <c r="F106" s="6"/>
      <c r="G106" s="4"/>
      <c r="H106" s="14"/>
      <c r="I106" s="11" t="str">
        <f>IF(A106="",IF(COUNTA(B106:H106)&gt;0,"MISSING ID",""),IF(COUNTIFS($A$6:$A$305,A106,$B$6:$B$305,B106)&lt;&gt;1,"DUPLICATE CASE/STAGE",IF(AND(B106&lt;&gt;"INITIAL",B106&lt;&gt;"RECON",B106&lt;&gt;"HEARING"),"UNKNOWN STAGE",IF(OR(NOT(ISNUMBER(C106)),C106&gt;Assumptions!$B$5,NOT(ISNUMBER(F106)),F106&lt;C106,F106&gt;Assumptions!$B$5),"INVALID DATES",IF(AND(D106&lt;&gt;"FAVORABLE",D106&lt;&gt;"OTHER"),"UNKNOWN OUTCOME",IF(OR(NOT(ISNUMBER(E106)),E106&lt;0,G106&lt;&gt;"YES"),"INCOMPLETE FEES","OK"))))))</f>
        <v/>
      </c>
      <c r="J106" s="1"/>
      <c r="K106" s="1"/>
      <c r="L106" s="1"/>
      <c r="M106" s="1"/>
      <c r="N106" s="1"/>
      <c r="O106" s="1"/>
    </row>
    <row r="107" spans="1:15" ht="32" customHeight="1">
      <c r="A107" s="4"/>
      <c r="B107" s="4"/>
      <c r="C107" s="6"/>
      <c r="D107" s="4"/>
      <c r="E107" s="12"/>
      <c r="F107" s="6"/>
      <c r="G107" s="4"/>
      <c r="H107" s="14"/>
      <c r="I107" s="11" t="str">
        <f>IF(A107="",IF(COUNTA(B107:H107)&gt;0,"MISSING ID",""),IF(COUNTIFS($A$6:$A$305,A107,$B$6:$B$305,B107)&lt;&gt;1,"DUPLICATE CASE/STAGE",IF(AND(B107&lt;&gt;"INITIAL",B107&lt;&gt;"RECON",B107&lt;&gt;"HEARING"),"UNKNOWN STAGE",IF(OR(NOT(ISNUMBER(C107)),C107&gt;Assumptions!$B$5,NOT(ISNUMBER(F107)),F107&lt;C107,F107&gt;Assumptions!$B$5),"INVALID DATES",IF(AND(D107&lt;&gt;"FAVORABLE",D107&lt;&gt;"OTHER"),"UNKNOWN OUTCOME",IF(OR(NOT(ISNUMBER(E107)),E107&lt;0,G107&lt;&gt;"YES"),"INCOMPLETE FEES","OK"))))))</f>
        <v/>
      </c>
      <c r="J107" s="1"/>
      <c r="K107" s="1"/>
      <c r="L107" s="1"/>
      <c r="M107" s="1"/>
      <c r="N107" s="1"/>
      <c r="O107" s="1"/>
    </row>
    <row r="108" spans="1:15" ht="32" customHeight="1">
      <c r="A108" s="4"/>
      <c r="B108" s="4"/>
      <c r="C108" s="6"/>
      <c r="D108" s="4"/>
      <c r="E108" s="12"/>
      <c r="F108" s="6"/>
      <c r="G108" s="4"/>
      <c r="H108" s="14"/>
      <c r="I108" s="11" t="str">
        <f>IF(A108="",IF(COUNTA(B108:H108)&gt;0,"MISSING ID",""),IF(COUNTIFS($A$6:$A$305,A108,$B$6:$B$305,B108)&lt;&gt;1,"DUPLICATE CASE/STAGE",IF(AND(B108&lt;&gt;"INITIAL",B108&lt;&gt;"RECON",B108&lt;&gt;"HEARING"),"UNKNOWN STAGE",IF(OR(NOT(ISNUMBER(C108)),C108&gt;Assumptions!$B$5,NOT(ISNUMBER(F108)),F108&lt;C108,F108&gt;Assumptions!$B$5),"INVALID DATES",IF(AND(D108&lt;&gt;"FAVORABLE",D108&lt;&gt;"OTHER"),"UNKNOWN OUTCOME",IF(OR(NOT(ISNUMBER(E108)),E108&lt;0,G108&lt;&gt;"YES"),"INCOMPLETE FEES","OK"))))))</f>
        <v/>
      </c>
      <c r="J108" s="1"/>
      <c r="K108" s="1"/>
      <c r="L108" s="1"/>
      <c r="M108" s="1"/>
      <c r="N108" s="1"/>
      <c r="O108" s="1"/>
    </row>
    <row r="109" spans="1:15" ht="32" customHeight="1">
      <c r="A109" s="4"/>
      <c r="B109" s="4"/>
      <c r="C109" s="6"/>
      <c r="D109" s="4"/>
      <c r="E109" s="12"/>
      <c r="F109" s="6"/>
      <c r="G109" s="4"/>
      <c r="H109" s="14"/>
      <c r="I109" s="11" t="str">
        <f>IF(A109="",IF(COUNTA(B109:H109)&gt;0,"MISSING ID",""),IF(COUNTIFS($A$6:$A$305,A109,$B$6:$B$305,B109)&lt;&gt;1,"DUPLICATE CASE/STAGE",IF(AND(B109&lt;&gt;"INITIAL",B109&lt;&gt;"RECON",B109&lt;&gt;"HEARING"),"UNKNOWN STAGE",IF(OR(NOT(ISNUMBER(C109)),C109&gt;Assumptions!$B$5,NOT(ISNUMBER(F109)),F109&lt;C109,F109&gt;Assumptions!$B$5),"INVALID DATES",IF(AND(D109&lt;&gt;"FAVORABLE",D109&lt;&gt;"OTHER"),"UNKNOWN OUTCOME",IF(OR(NOT(ISNUMBER(E109)),E109&lt;0,G109&lt;&gt;"YES"),"INCOMPLETE FEES","OK"))))))</f>
        <v/>
      </c>
      <c r="J109" s="1"/>
      <c r="K109" s="1"/>
      <c r="L109" s="1"/>
      <c r="M109" s="1"/>
      <c r="N109" s="1"/>
      <c r="O109" s="1"/>
    </row>
    <row r="110" spans="1:15" ht="32" customHeight="1">
      <c r="A110" s="4"/>
      <c r="B110" s="4"/>
      <c r="C110" s="6"/>
      <c r="D110" s="4"/>
      <c r="E110" s="12"/>
      <c r="F110" s="6"/>
      <c r="G110" s="4"/>
      <c r="H110" s="14"/>
      <c r="I110" s="11" t="str">
        <f>IF(A110="",IF(COUNTA(B110:H110)&gt;0,"MISSING ID",""),IF(COUNTIFS($A$6:$A$305,A110,$B$6:$B$305,B110)&lt;&gt;1,"DUPLICATE CASE/STAGE",IF(AND(B110&lt;&gt;"INITIAL",B110&lt;&gt;"RECON",B110&lt;&gt;"HEARING"),"UNKNOWN STAGE",IF(OR(NOT(ISNUMBER(C110)),C110&gt;Assumptions!$B$5,NOT(ISNUMBER(F110)),F110&lt;C110,F110&gt;Assumptions!$B$5),"INVALID DATES",IF(AND(D110&lt;&gt;"FAVORABLE",D110&lt;&gt;"OTHER"),"UNKNOWN OUTCOME",IF(OR(NOT(ISNUMBER(E110)),E110&lt;0,G110&lt;&gt;"YES"),"INCOMPLETE FEES","OK"))))))</f>
        <v/>
      </c>
      <c r="J110" s="1"/>
      <c r="K110" s="1"/>
      <c r="L110" s="1"/>
      <c r="M110" s="1"/>
      <c r="N110" s="1"/>
      <c r="O110" s="1"/>
    </row>
    <row r="111" spans="1:15" ht="32" customHeight="1">
      <c r="A111" s="4"/>
      <c r="B111" s="4"/>
      <c r="C111" s="6"/>
      <c r="D111" s="4"/>
      <c r="E111" s="12"/>
      <c r="F111" s="6"/>
      <c r="G111" s="4"/>
      <c r="H111" s="14"/>
      <c r="I111" s="11" t="str">
        <f>IF(A111="",IF(COUNTA(B111:H111)&gt;0,"MISSING ID",""),IF(COUNTIFS($A$6:$A$305,A111,$B$6:$B$305,B111)&lt;&gt;1,"DUPLICATE CASE/STAGE",IF(AND(B111&lt;&gt;"INITIAL",B111&lt;&gt;"RECON",B111&lt;&gt;"HEARING"),"UNKNOWN STAGE",IF(OR(NOT(ISNUMBER(C111)),C111&gt;Assumptions!$B$5,NOT(ISNUMBER(F111)),F111&lt;C111,F111&gt;Assumptions!$B$5),"INVALID DATES",IF(AND(D111&lt;&gt;"FAVORABLE",D111&lt;&gt;"OTHER"),"UNKNOWN OUTCOME",IF(OR(NOT(ISNUMBER(E111)),E111&lt;0,G111&lt;&gt;"YES"),"INCOMPLETE FEES","OK"))))))</f>
        <v/>
      </c>
      <c r="J111" s="1"/>
      <c r="K111" s="1"/>
      <c r="L111" s="1"/>
      <c r="M111" s="1"/>
      <c r="N111" s="1"/>
      <c r="O111" s="1"/>
    </row>
    <row r="112" spans="1:15" ht="32" customHeight="1">
      <c r="A112" s="4"/>
      <c r="B112" s="4"/>
      <c r="C112" s="6"/>
      <c r="D112" s="4"/>
      <c r="E112" s="12"/>
      <c r="F112" s="6"/>
      <c r="G112" s="4"/>
      <c r="H112" s="14"/>
      <c r="I112" s="11" t="str">
        <f>IF(A112="",IF(COUNTA(B112:H112)&gt;0,"MISSING ID",""),IF(COUNTIFS($A$6:$A$305,A112,$B$6:$B$305,B112)&lt;&gt;1,"DUPLICATE CASE/STAGE",IF(AND(B112&lt;&gt;"INITIAL",B112&lt;&gt;"RECON",B112&lt;&gt;"HEARING"),"UNKNOWN STAGE",IF(OR(NOT(ISNUMBER(C112)),C112&gt;Assumptions!$B$5,NOT(ISNUMBER(F112)),F112&lt;C112,F112&gt;Assumptions!$B$5),"INVALID DATES",IF(AND(D112&lt;&gt;"FAVORABLE",D112&lt;&gt;"OTHER"),"UNKNOWN OUTCOME",IF(OR(NOT(ISNUMBER(E112)),E112&lt;0,G112&lt;&gt;"YES"),"INCOMPLETE FEES","OK"))))))</f>
        <v/>
      </c>
      <c r="J112" s="1"/>
      <c r="K112" s="1"/>
      <c r="L112" s="1"/>
      <c r="M112" s="1"/>
      <c r="N112" s="1"/>
      <c r="O112" s="1"/>
    </row>
    <row r="113" spans="1:15" ht="32" customHeight="1">
      <c r="A113" s="4"/>
      <c r="B113" s="4"/>
      <c r="C113" s="6"/>
      <c r="D113" s="4"/>
      <c r="E113" s="12"/>
      <c r="F113" s="6"/>
      <c r="G113" s="4"/>
      <c r="H113" s="14"/>
      <c r="I113" s="11" t="str">
        <f>IF(A113="",IF(COUNTA(B113:H113)&gt;0,"MISSING ID",""),IF(COUNTIFS($A$6:$A$305,A113,$B$6:$B$305,B113)&lt;&gt;1,"DUPLICATE CASE/STAGE",IF(AND(B113&lt;&gt;"INITIAL",B113&lt;&gt;"RECON",B113&lt;&gt;"HEARING"),"UNKNOWN STAGE",IF(OR(NOT(ISNUMBER(C113)),C113&gt;Assumptions!$B$5,NOT(ISNUMBER(F113)),F113&lt;C113,F113&gt;Assumptions!$B$5),"INVALID DATES",IF(AND(D113&lt;&gt;"FAVORABLE",D113&lt;&gt;"OTHER"),"UNKNOWN OUTCOME",IF(OR(NOT(ISNUMBER(E113)),E113&lt;0,G113&lt;&gt;"YES"),"INCOMPLETE FEES","OK"))))))</f>
        <v/>
      </c>
      <c r="J113" s="1"/>
      <c r="K113" s="1"/>
      <c r="L113" s="1"/>
      <c r="M113" s="1"/>
      <c r="N113" s="1"/>
      <c r="O113" s="1"/>
    </row>
    <row r="114" spans="1:15" ht="32" customHeight="1">
      <c r="A114" s="4"/>
      <c r="B114" s="4"/>
      <c r="C114" s="6"/>
      <c r="D114" s="4"/>
      <c r="E114" s="12"/>
      <c r="F114" s="6"/>
      <c r="G114" s="4"/>
      <c r="H114" s="14"/>
      <c r="I114" s="11" t="str">
        <f>IF(A114="",IF(COUNTA(B114:H114)&gt;0,"MISSING ID",""),IF(COUNTIFS($A$6:$A$305,A114,$B$6:$B$305,B114)&lt;&gt;1,"DUPLICATE CASE/STAGE",IF(AND(B114&lt;&gt;"INITIAL",B114&lt;&gt;"RECON",B114&lt;&gt;"HEARING"),"UNKNOWN STAGE",IF(OR(NOT(ISNUMBER(C114)),C114&gt;Assumptions!$B$5,NOT(ISNUMBER(F114)),F114&lt;C114,F114&gt;Assumptions!$B$5),"INVALID DATES",IF(AND(D114&lt;&gt;"FAVORABLE",D114&lt;&gt;"OTHER"),"UNKNOWN OUTCOME",IF(OR(NOT(ISNUMBER(E114)),E114&lt;0,G114&lt;&gt;"YES"),"INCOMPLETE FEES","OK"))))))</f>
        <v/>
      </c>
      <c r="J114" s="1"/>
      <c r="K114" s="1"/>
      <c r="L114" s="1"/>
      <c r="M114" s="1"/>
      <c r="N114" s="1"/>
      <c r="O114" s="1"/>
    </row>
    <row r="115" spans="1:15" ht="32" customHeight="1">
      <c r="A115" s="4"/>
      <c r="B115" s="4"/>
      <c r="C115" s="6"/>
      <c r="D115" s="4"/>
      <c r="E115" s="12"/>
      <c r="F115" s="6"/>
      <c r="G115" s="4"/>
      <c r="H115" s="14"/>
      <c r="I115" s="11" t="str">
        <f>IF(A115="",IF(COUNTA(B115:H115)&gt;0,"MISSING ID",""),IF(COUNTIFS($A$6:$A$305,A115,$B$6:$B$305,B115)&lt;&gt;1,"DUPLICATE CASE/STAGE",IF(AND(B115&lt;&gt;"INITIAL",B115&lt;&gt;"RECON",B115&lt;&gt;"HEARING"),"UNKNOWN STAGE",IF(OR(NOT(ISNUMBER(C115)),C115&gt;Assumptions!$B$5,NOT(ISNUMBER(F115)),F115&lt;C115,F115&gt;Assumptions!$B$5),"INVALID DATES",IF(AND(D115&lt;&gt;"FAVORABLE",D115&lt;&gt;"OTHER"),"UNKNOWN OUTCOME",IF(OR(NOT(ISNUMBER(E115)),E115&lt;0,G115&lt;&gt;"YES"),"INCOMPLETE FEES","OK"))))))</f>
        <v/>
      </c>
      <c r="J115" s="1"/>
      <c r="K115" s="1"/>
      <c r="L115" s="1"/>
      <c r="M115" s="1"/>
      <c r="N115" s="1"/>
      <c r="O115" s="1"/>
    </row>
    <row r="116" spans="1:15" ht="32" customHeight="1">
      <c r="A116" s="4"/>
      <c r="B116" s="4"/>
      <c r="C116" s="6"/>
      <c r="D116" s="4"/>
      <c r="E116" s="12"/>
      <c r="F116" s="6"/>
      <c r="G116" s="4"/>
      <c r="H116" s="14"/>
      <c r="I116" s="11" t="str">
        <f>IF(A116="",IF(COUNTA(B116:H116)&gt;0,"MISSING ID",""),IF(COUNTIFS($A$6:$A$305,A116,$B$6:$B$305,B116)&lt;&gt;1,"DUPLICATE CASE/STAGE",IF(AND(B116&lt;&gt;"INITIAL",B116&lt;&gt;"RECON",B116&lt;&gt;"HEARING"),"UNKNOWN STAGE",IF(OR(NOT(ISNUMBER(C116)),C116&gt;Assumptions!$B$5,NOT(ISNUMBER(F116)),F116&lt;C116,F116&gt;Assumptions!$B$5),"INVALID DATES",IF(AND(D116&lt;&gt;"FAVORABLE",D116&lt;&gt;"OTHER"),"UNKNOWN OUTCOME",IF(OR(NOT(ISNUMBER(E116)),E116&lt;0,G116&lt;&gt;"YES"),"INCOMPLETE FEES","OK"))))))</f>
        <v/>
      </c>
      <c r="J116" s="1"/>
      <c r="K116" s="1"/>
      <c r="L116" s="1"/>
      <c r="M116" s="1"/>
      <c r="N116" s="1"/>
      <c r="O116" s="1"/>
    </row>
    <row r="117" spans="1:15" ht="32" customHeight="1">
      <c r="A117" s="4"/>
      <c r="B117" s="4"/>
      <c r="C117" s="6"/>
      <c r="D117" s="4"/>
      <c r="E117" s="12"/>
      <c r="F117" s="6"/>
      <c r="G117" s="4"/>
      <c r="H117" s="14"/>
      <c r="I117" s="11" t="str">
        <f>IF(A117="",IF(COUNTA(B117:H117)&gt;0,"MISSING ID",""),IF(COUNTIFS($A$6:$A$305,A117,$B$6:$B$305,B117)&lt;&gt;1,"DUPLICATE CASE/STAGE",IF(AND(B117&lt;&gt;"INITIAL",B117&lt;&gt;"RECON",B117&lt;&gt;"HEARING"),"UNKNOWN STAGE",IF(OR(NOT(ISNUMBER(C117)),C117&gt;Assumptions!$B$5,NOT(ISNUMBER(F117)),F117&lt;C117,F117&gt;Assumptions!$B$5),"INVALID DATES",IF(AND(D117&lt;&gt;"FAVORABLE",D117&lt;&gt;"OTHER"),"UNKNOWN OUTCOME",IF(OR(NOT(ISNUMBER(E117)),E117&lt;0,G117&lt;&gt;"YES"),"INCOMPLETE FEES","OK"))))))</f>
        <v/>
      </c>
      <c r="J117" s="1"/>
      <c r="K117" s="1"/>
      <c r="L117" s="1"/>
      <c r="M117" s="1"/>
      <c r="N117" s="1"/>
      <c r="O117" s="1"/>
    </row>
    <row r="118" spans="1:15" ht="32" customHeight="1">
      <c r="A118" s="4"/>
      <c r="B118" s="4"/>
      <c r="C118" s="6"/>
      <c r="D118" s="4"/>
      <c r="E118" s="12"/>
      <c r="F118" s="6"/>
      <c r="G118" s="4"/>
      <c r="H118" s="14"/>
      <c r="I118" s="11" t="str">
        <f>IF(A118="",IF(COUNTA(B118:H118)&gt;0,"MISSING ID",""),IF(COUNTIFS($A$6:$A$305,A118,$B$6:$B$305,B118)&lt;&gt;1,"DUPLICATE CASE/STAGE",IF(AND(B118&lt;&gt;"INITIAL",B118&lt;&gt;"RECON",B118&lt;&gt;"HEARING"),"UNKNOWN STAGE",IF(OR(NOT(ISNUMBER(C118)),C118&gt;Assumptions!$B$5,NOT(ISNUMBER(F118)),F118&lt;C118,F118&gt;Assumptions!$B$5),"INVALID DATES",IF(AND(D118&lt;&gt;"FAVORABLE",D118&lt;&gt;"OTHER"),"UNKNOWN OUTCOME",IF(OR(NOT(ISNUMBER(E118)),E118&lt;0,G118&lt;&gt;"YES"),"INCOMPLETE FEES","OK"))))))</f>
        <v/>
      </c>
      <c r="J118" s="1"/>
      <c r="K118" s="1"/>
      <c r="L118" s="1"/>
      <c r="M118" s="1"/>
      <c r="N118" s="1"/>
      <c r="O118" s="1"/>
    </row>
    <row r="119" spans="1:15" ht="32" customHeight="1">
      <c r="A119" s="4"/>
      <c r="B119" s="4"/>
      <c r="C119" s="6"/>
      <c r="D119" s="4"/>
      <c r="E119" s="12"/>
      <c r="F119" s="6"/>
      <c r="G119" s="4"/>
      <c r="H119" s="14"/>
      <c r="I119" s="11" t="str">
        <f>IF(A119="",IF(COUNTA(B119:H119)&gt;0,"MISSING ID",""),IF(COUNTIFS($A$6:$A$305,A119,$B$6:$B$305,B119)&lt;&gt;1,"DUPLICATE CASE/STAGE",IF(AND(B119&lt;&gt;"INITIAL",B119&lt;&gt;"RECON",B119&lt;&gt;"HEARING"),"UNKNOWN STAGE",IF(OR(NOT(ISNUMBER(C119)),C119&gt;Assumptions!$B$5,NOT(ISNUMBER(F119)),F119&lt;C119,F119&gt;Assumptions!$B$5),"INVALID DATES",IF(AND(D119&lt;&gt;"FAVORABLE",D119&lt;&gt;"OTHER"),"UNKNOWN OUTCOME",IF(OR(NOT(ISNUMBER(E119)),E119&lt;0,G119&lt;&gt;"YES"),"INCOMPLETE FEES","OK"))))))</f>
        <v/>
      </c>
      <c r="J119" s="1"/>
      <c r="K119" s="1"/>
      <c r="L119" s="1"/>
      <c r="M119" s="1"/>
      <c r="N119" s="1"/>
      <c r="O119" s="1"/>
    </row>
    <row r="120" spans="1:15" ht="32" customHeight="1">
      <c r="A120" s="4"/>
      <c r="B120" s="4"/>
      <c r="C120" s="6"/>
      <c r="D120" s="4"/>
      <c r="E120" s="12"/>
      <c r="F120" s="6"/>
      <c r="G120" s="4"/>
      <c r="H120" s="14"/>
      <c r="I120" s="11" t="str">
        <f>IF(A120="",IF(COUNTA(B120:H120)&gt;0,"MISSING ID",""),IF(COUNTIFS($A$6:$A$305,A120,$B$6:$B$305,B120)&lt;&gt;1,"DUPLICATE CASE/STAGE",IF(AND(B120&lt;&gt;"INITIAL",B120&lt;&gt;"RECON",B120&lt;&gt;"HEARING"),"UNKNOWN STAGE",IF(OR(NOT(ISNUMBER(C120)),C120&gt;Assumptions!$B$5,NOT(ISNUMBER(F120)),F120&lt;C120,F120&gt;Assumptions!$B$5),"INVALID DATES",IF(AND(D120&lt;&gt;"FAVORABLE",D120&lt;&gt;"OTHER"),"UNKNOWN OUTCOME",IF(OR(NOT(ISNUMBER(E120)),E120&lt;0,G120&lt;&gt;"YES"),"INCOMPLETE FEES","OK"))))))</f>
        <v/>
      </c>
      <c r="J120" s="1"/>
      <c r="K120" s="1"/>
      <c r="L120" s="1"/>
      <c r="M120" s="1"/>
      <c r="N120" s="1"/>
      <c r="O120" s="1"/>
    </row>
    <row r="121" spans="1:15" ht="32" customHeight="1">
      <c r="A121" s="4"/>
      <c r="B121" s="4"/>
      <c r="C121" s="6"/>
      <c r="D121" s="4"/>
      <c r="E121" s="12"/>
      <c r="F121" s="6"/>
      <c r="G121" s="4"/>
      <c r="H121" s="14"/>
      <c r="I121" s="11" t="str">
        <f>IF(A121="",IF(COUNTA(B121:H121)&gt;0,"MISSING ID",""),IF(COUNTIFS($A$6:$A$305,A121,$B$6:$B$305,B121)&lt;&gt;1,"DUPLICATE CASE/STAGE",IF(AND(B121&lt;&gt;"INITIAL",B121&lt;&gt;"RECON",B121&lt;&gt;"HEARING"),"UNKNOWN STAGE",IF(OR(NOT(ISNUMBER(C121)),C121&gt;Assumptions!$B$5,NOT(ISNUMBER(F121)),F121&lt;C121,F121&gt;Assumptions!$B$5),"INVALID DATES",IF(AND(D121&lt;&gt;"FAVORABLE",D121&lt;&gt;"OTHER"),"UNKNOWN OUTCOME",IF(OR(NOT(ISNUMBER(E121)),E121&lt;0,G121&lt;&gt;"YES"),"INCOMPLETE FEES","OK"))))))</f>
        <v/>
      </c>
      <c r="J121" s="1"/>
      <c r="K121" s="1"/>
      <c r="L121" s="1"/>
      <c r="M121" s="1"/>
      <c r="N121" s="1"/>
      <c r="O121" s="1"/>
    </row>
    <row r="122" spans="1:15" ht="32" customHeight="1">
      <c r="A122" s="4"/>
      <c r="B122" s="4"/>
      <c r="C122" s="6"/>
      <c r="D122" s="4"/>
      <c r="E122" s="12"/>
      <c r="F122" s="6"/>
      <c r="G122" s="4"/>
      <c r="H122" s="14"/>
      <c r="I122" s="11" t="str">
        <f>IF(A122="",IF(COUNTA(B122:H122)&gt;0,"MISSING ID",""),IF(COUNTIFS($A$6:$A$305,A122,$B$6:$B$305,B122)&lt;&gt;1,"DUPLICATE CASE/STAGE",IF(AND(B122&lt;&gt;"INITIAL",B122&lt;&gt;"RECON",B122&lt;&gt;"HEARING"),"UNKNOWN STAGE",IF(OR(NOT(ISNUMBER(C122)),C122&gt;Assumptions!$B$5,NOT(ISNUMBER(F122)),F122&lt;C122,F122&gt;Assumptions!$B$5),"INVALID DATES",IF(AND(D122&lt;&gt;"FAVORABLE",D122&lt;&gt;"OTHER"),"UNKNOWN OUTCOME",IF(OR(NOT(ISNUMBER(E122)),E122&lt;0,G122&lt;&gt;"YES"),"INCOMPLETE FEES","OK"))))))</f>
        <v/>
      </c>
      <c r="J122" s="1"/>
      <c r="K122" s="1"/>
      <c r="L122" s="1"/>
      <c r="M122" s="1"/>
      <c r="N122" s="1"/>
      <c r="O122" s="1"/>
    </row>
    <row r="123" spans="1:15" ht="32" customHeight="1">
      <c r="A123" s="4"/>
      <c r="B123" s="4"/>
      <c r="C123" s="6"/>
      <c r="D123" s="4"/>
      <c r="E123" s="12"/>
      <c r="F123" s="6"/>
      <c r="G123" s="4"/>
      <c r="H123" s="14"/>
      <c r="I123" s="11" t="str">
        <f>IF(A123="",IF(COUNTA(B123:H123)&gt;0,"MISSING ID",""),IF(COUNTIFS($A$6:$A$305,A123,$B$6:$B$305,B123)&lt;&gt;1,"DUPLICATE CASE/STAGE",IF(AND(B123&lt;&gt;"INITIAL",B123&lt;&gt;"RECON",B123&lt;&gt;"HEARING"),"UNKNOWN STAGE",IF(OR(NOT(ISNUMBER(C123)),C123&gt;Assumptions!$B$5,NOT(ISNUMBER(F123)),F123&lt;C123,F123&gt;Assumptions!$B$5),"INVALID DATES",IF(AND(D123&lt;&gt;"FAVORABLE",D123&lt;&gt;"OTHER"),"UNKNOWN OUTCOME",IF(OR(NOT(ISNUMBER(E123)),E123&lt;0,G123&lt;&gt;"YES"),"INCOMPLETE FEES","OK"))))))</f>
        <v/>
      </c>
      <c r="J123" s="1"/>
      <c r="K123" s="1"/>
      <c r="L123" s="1"/>
      <c r="M123" s="1"/>
      <c r="N123" s="1"/>
      <c r="O123" s="1"/>
    </row>
    <row r="124" spans="1:15" ht="32" customHeight="1">
      <c r="A124" s="4"/>
      <c r="B124" s="4"/>
      <c r="C124" s="6"/>
      <c r="D124" s="4"/>
      <c r="E124" s="12"/>
      <c r="F124" s="6"/>
      <c r="G124" s="4"/>
      <c r="H124" s="14"/>
      <c r="I124" s="11" t="str">
        <f>IF(A124="",IF(COUNTA(B124:H124)&gt;0,"MISSING ID",""),IF(COUNTIFS($A$6:$A$305,A124,$B$6:$B$305,B124)&lt;&gt;1,"DUPLICATE CASE/STAGE",IF(AND(B124&lt;&gt;"INITIAL",B124&lt;&gt;"RECON",B124&lt;&gt;"HEARING"),"UNKNOWN STAGE",IF(OR(NOT(ISNUMBER(C124)),C124&gt;Assumptions!$B$5,NOT(ISNUMBER(F124)),F124&lt;C124,F124&gt;Assumptions!$B$5),"INVALID DATES",IF(AND(D124&lt;&gt;"FAVORABLE",D124&lt;&gt;"OTHER"),"UNKNOWN OUTCOME",IF(OR(NOT(ISNUMBER(E124)),E124&lt;0,G124&lt;&gt;"YES"),"INCOMPLETE FEES","OK"))))))</f>
        <v/>
      </c>
      <c r="J124" s="1"/>
      <c r="K124" s="1"/>
      <c r="L124" s="1"/>
      <c r="M124" s="1"/>
      <c r="N124" s="1"/>
      <c r="O124" s="1"/>
    </row>
    <row r="125" spans="1:15" ht="32" customHeight="1">
      <c r="A125" s="4"/>
      <c r="B125" s="4"/>
      <c r="C125" s="6"/>
      <c r="D125" s="4"/>
      <c r="E125" s="12"/>
      <c r="F125" s="6"/>
      <c r="G125" s="4"/>
      <c r="H125" s="14"/>
      <c r="I125" s="11" t="str">
        <f>IF(A125="",IF(COUNTA(B125:H125)&gt;0,"MISSING ID",""),IF(COUNTIFS($A$6:$A$305,A125,$B$6:$B$305,B125)&lt;&gt;1,"DUPLICATE CASE/STAGE",IF(AND(B125&lt;&gt;"INITIAL",B125&lt;&gt;"RECON",B125&lt;&gt;"HEARING"),"UNKNOWN STAGE",IF(OR(NOT(ISNUMBER(C125)),C125&gt;Assumptions!$B$5,NOT(ISNUMBER(F125)),F125&lt;C125,F125&gt;Assumptions!$B$5),"INVALID DATES",IF(AND(D125&lt;&gt;"FAVORABLE",D125&lt;&gt;"OTHER"),"UNKNOWN OUTCOME",IF(OR(NOT(ISNUMBER(E125)),E125&lt;0,G125&lt;&gt;"YES"),"INCOMPLETE FEES","OK"))))))</f>
        <v/>
      </c>
      <c r="J125" s="1"/>
      <c r="K125" s="1"/>
      <c r="L125" s="1"/>
      <c r="M125" s="1"/>
      <c r="N125" s="1"/>
      <c r="O125" s="1"/>
    </row>
    <row r="126" spans="1:15" ht="32" customHeight="1">
      <c r="A126" s="4"/>
      <c r="B126" s="4"/>
      <c r="C126" s="6"/>
      <c r="D126" s="4"/>
      <c r="E126" s="12"/>
      <c r="F126" s="6"/>
      <c r="G126" s="4"/>
      <c r="H126" s="14"/>
      <c r="I126" s="11" t="str">
        <f>IF(A126="",IF(COUNTA(B126:H126)&gt;0,"MISSING ID",""),IF(COUNTIFS($A$6:$A$305,A126,$B$6:$B$305,B126)&lt;&gt;1,"DUPLICATE CASE/STAGE",IF(AND(B126&lt;&gt;"INITIAL",B126&lt;&gt;"RECON",B126&lt;&gt;"HEARING"),"UNKNOWN STAGE",IF(OR(NOT(ISNUMBER(C126)),C126&gt;Assumptions!$B$5,NOT(ISNUMBER(F126)),F126&lt;C126,F126&gt;Assumptions!$B$5),"INVALID DATES",IF(AND(D126&lt;&gt;"FAVORABLE",D126&lt;&gt;"OTHER"),"UNKNOWN OUTCOME",IF(OR(NOT(ISNUMBER(E126)),E126&lt;0,G126&lt;&gt;"YES"),"INCOMPLETE FEES","OK"))))))</f>
        <v/>
      </c>
      <c r="J126" s="1"/>
      <c r="K126" s="1"/>
      <c r="L126" s="1"/>
      <c r="M126" s="1"/>
      <c r="N126" s="1"/>
      <c r="O126" s="1"/>
    </row>
    <row r="127" spans="1:15" ht="32" customHeight="1">
      <c r="A127" s="4"/>
      <c r="B127" s="4"/>
      <c r="C127" s="6"/>
      <c r="D127" s="4"/>
      <c r="E127" s="12"/>
      <c r="F127" s="6"/>
      <c r="G127" s="4"/>
      <c r="H127" s="14"/>
      <c r="I127" s="11" t="str">
        <f>IF(A127="",IF(COUNTA(B127:H127)&gt;0,"MISSING ID",""),IF(COUNTIFS($A$6:$A$305,A127,$B$6:$B$305,B127)&lt;&gt;1,"DUPLICATE CASE/STAGE",IF(AND(B127&lt;&gt;"INITIAL",B127&lt;&gt;"RECON",B127&lt;&gt;"HEARING"),"UNKNOWN STAGE",IF(OR(NOT(ISNUMBER(C127)),C127&gt;Assumptions!$B$5,NOT(ISNUMBER(F127)),F127&lt;C127,F127&gt;Assumptions!$B$5),"INVALID DATES",IF(AND(D127&lt;&gt;"FAVORABLE",D127&lt;&gt;"OTHER"),"UNKNOWN OUTCOME",IF(OR(NOT(ISNUMBER(E127)),E127&lt;0,G127&lt;&gt;"YES"),"INCOMPLETE FEES","OK"))))))</f>
        <v/>
      </c>
      <c r="J127" s="1"/>
      <c r="K127" s="1"/>
      <c r="L127" s="1"/>
      <c r="M127" s="1"/>
      <c r="N127" s="1"/>
      <c r="O127" s="1"/>
    </row>
    <row r="128" spans="1:15" ht="32" customHeight="1">
      <c r="A128" s="4"/>
      <c r="B128" s="4"/>
      <c r="C128" s="6"/>
      <c r="D128" s="4"/>
      <c r="E128" s="12"/>
      <c r="F128" s="6"/>
      <c r="G128" s="4"/>
      <c r="H128" s="14"/>
      <c r="I128" s="11" t="str">
        <f>IF(A128="",IF(COUNTA(B128:H128)&gt;0,"MISSING ID",""),IF(COUNTIFS($A$6:$A$305,A128,$B$6:$B$305,B128)&lt;&gt;1,"DUPLICATE CASE/STAGE",IF(AND(B128&lt;&gt;"INITIAL",B128&lt;&gt;"RECON",B128&lt;&gt;"HEARING"),"UNKNOWN STAGE",IF(OR(NOT(ISNUMBER(C128)),C128&gt;Assumptions!$B$5,NOT(ISNUMBER(F128)),F128&lt;C128,F128&gt;Assumptions!$B$5),"INVALID DATES",IF(AND(D128&lt;&gt;"FAVORABLE",D128&lt;&gt;"OTHER"),"UNKNOWN OUTCOME",IF(OR(NOT(ISNUMBER(E128)),E128&lt;0,G128&lt;&gt;"YES"),"INCOMPLETE FEES","OK"))))))</f>
        <v/>
      </c>
      <c r="J128" s="1"/>
      <c r="K128" s="1"/>
      <c r="L128" s="1"/>
      <c r="M128" s="1"/>
      <c r="N128" s="1"/>
      <c r="O128" s="1"/>
    </row>
    <row r="129" spans="1:15" ht="32" customHeight="1">
      <c r="A129" s="4"/>
      <c r="B129" s="4"/>
      <c r="C129" s="6"/>
      <c r="D129" s="4"/>
      <c r="E129" s="12"/>
      <c r="F129" s="6"/>
      <c r="G129" s="4"/>
      <c r="H129" s="14"/>
      <c r="I129" s="11" t="str">
        <f>IF(A129="",IF(COUNTA(B129:H129)&gt;0,"MISSING ID",""),IF(COUNTIFS($A$6:$A$305,A129,$B$6:$B$305,B129)&lt;&gt;1,"DUPLICATE CASE/STAGE",IF(AND(B129&lt;&gt;"INITIAL",B129&lt;&gt;"RECON",B129&lt;&gt;"HEARING"),"UNKNOWN STAGE",IF(OR(NOT(ISNUMBER(C129)),C129&gt;Assumptions!$B$5,NOT(ISNUMBER(F129)),F129&lt;C129,F129&gt;Assumptions!$B$5),"INVALID DATES",IF(AND(D129&lt;&gt;"FAVORABLE",D129&lt;&gt;"OTHER"),"UNKNOWN OUTCOME",IF(OR(NOT(ISNUMBER(E129)),E129&lt;0,G129&lt;&gt;"YES"),"INCOMPLETE FEES","OK"))))))</f>
        <v/>
      </c>
      <c r="J129" s="1"/>
      <c r="K129" s="1"/>
      <c r="L129" s="1"/>
      <c r="M129" s="1"/>
      <c r="N129" s="1"/>
      <c r="O129" s="1"/>
    </row>
    <row r="130" spans="1:15" ht="32" customHeight="1">
      <c r="A130" s="4"/>
      <c r="B130" s="4"/>
      <c r="C130" s="6"/>
      <c r="D130" s="4"/>
      <c r="E130" s="12"/>
      <c r="F130" s="6"/>
      <c r="G130" s="4"/>
      <c r="H130" s="14"/>
      <c r="I130" s="11" t="str">
        <f>IF(A130="",IF(COUNTA(B130:H130)&gt;0,"MISSING ID",""),IF(COUNTIFS($A$6:$A$305,A130,$B$6:$B$305,B130)&lt;&gt;1,"DUPLICATE CASE/STAGE",IF(AND(B130&lt;&gt;"INITIAL",B130&lt;&gt;"RECON",B130&lt;&gt;"HEARING"),"UNKNOWN STAGE",IF(OR(NOT(ISNUMBER(C130)),C130&gt;Assumptions!$B$5,NOT(ISNUMBER(F130)),F130&lt;C130,F130&gt;Assumptions!$B$5),"INVALID DATES",IF(AND(D130&lt;&gt;"FAVORABLE",D130&lt;&gt;"OTHER"),"UNKNOWN OUTCOME",IF(OR(NOT(ISNUMBER(E130)),E130&lt;0,G130&lt;&gt;"YES"),"INCOMPLETE FEES","OK"))))))</f>
        <v/>
      </c>
      <c r="J130" s="1"/>
      <c r="K130" s="1"/>
      <c r="L130" s="1"/>
      <c r="M130" s="1"/>
      <c r="N130" s="1"/>
      <c r="O130" s="1"/>
    </row>
    <row r="131" spans="1:15" ht="32" customHeight="1">
      <c r="A131" s="4"/>
      <c r="B131" s="4"/>
      <c r="C131" s="6"/>
      <c r="D131" s="4"/>
      <c r="E131" s="12"/>
      <c r="F131" s="6"/>
      <c r="G131" s="4"/>
      <c r="H131" s="14"/>
      <c r="I131" s="11" t="str">
        <f>IF(A131="",IF(COUNTA(B131:H131)&gt;0,"MISSING ID",""),IF(COUNTIFS($A$6:$A$305,A131,$B$6:$B$305,B131)&lt;&gt;1,"DUPLICATE CASE/STAGE",IF(AND(B131&lt;&gt;"INITIAL",B131&lt;&gt;"RECON",B131&lt;&gt;"HEARING"),"UNKNOWN STAGE",IF(OR(NOT(ISNUMBER(C131)),C131&gt;Assumptions!$B$5,NOT(ISNUMBER(F131)),F131&lt;C131,F131&gt;Assumptions!$B$5),"INVALID DATES",IF(AND(D131&lt;&gt;"FAVORABLE",D131&lt;&gt;"OTHER"),"UNKNOWN OUTCOME",IF(OR(NOT(ISNUMBER(E131)),E131&lt;0,G131&lt;&gt;"YES"),"INCOMPLETE FEES","OK"))))))</f>
        <v/>
      </c>
      <c r="J131" s="1"/>
      <c r="K131" s="1"/>
      <c r="L131" s="1"/>
      <c r="M131" s="1"/>
      <c r="N131" s="1"/>
      <c r="O131" s="1"/>
    </row>
    <row r="132" spans="1:15" ht="32" customHeight="1">
      <c r="A132" s="4"/>
      <c r="B132" s="4"/>
      <c r="C132" s="6"/>
      <c r="D132" s="4"/>
      <c r="E132" s="12"/>
      <c r="F132" s="6"/>
      <c r="G132" s="4"/>
      <c r="H132" s="14"/>
      <c r="I132" s="11" t="str">
        <f>IF(A132="",IF(COUNTA(B132:H132)&gt;0,"MISSING ID",""),IF(COUNTIFS($A$6:$A$305,A132,$B$6:$B$305,B132)&lt;&gt;1,"DUPLICATE CASE/STAGE",IF(AND(B132&lt;&gt;"INITIAL",B132&lt;&gt;"RECON",B132&lt;&gt;"HEARING"),"UNKNOWN STAGE",IF(OR(NOT(ISNUMBER(C132)),C132&gt;Assumptions!$B$5,NOT(ISNUMBER(F132)),F132&lt;C132,F132&gt;Assumptions!$B$5),"INVALID DATES",IF(AND(D132&lt;&gt;"FAVORABLE",D132&lt;&gt;"OTHER"),"UNKNOWN OUTCOME",IF(OR(NOT(ISNUMBER(E132)),E132&lt;0,G132&lt;&gt;"YES"),"INCOMPLETE FEES","OK"))))))</f>
        <v/>
      </c>
      <c r="J132" s="1"/>
      <c r="K132" s="1"/>
      <c r="L132" s="1"/>
      <c r="M132" s="1"/>
      <c r="N132" s="1"/>
      <c r="O132" s="1"/>
    </row>
    <row r="133" spans="1:15" ht="32" customHeight="1">
      <c r="A133" s="4"/>
      <c r="B133" s="4"/>
      <c r="C133" s="6"/>
      <c r="D133" s="4"/>
      <c r="E133" s="12"/>
      <c r="F133" s="6"/>
      <c r="G133" s="4"/>
      <c r="H133" s="14"/>
      <c r="I133" s="11" t="str">
        <f>IF(A133="",IF(COUNTA(B133:H133)&gt;0,"MISSING ID",""),IF(COUNTIFS($A$6:$A$305,A133,$B$6:$B$305,B133)&lt;&gt;1,"DUPLICATE CASE/STAGE",IF(AND(B133&lt;&gt;"INITIAL",B133&lt;&gt;"RECON",B133&lt;&gt;"HEARING"),"UNKNOWN STAGE",IF(OR(NOT(ISNUMBER(C133)),C133&gt;Assumptions!$B$5,NOT(ISNUMBER(F133)),F133&lt;C133,F133&gt;Assumptions!$B$5),"INVALID DATES",IF(AND(D133&lt;&gt;"FAVORABLE",D133&lt;&gt;"OTHER"),"UNKNOWN OUTCOME",IF(OR(NOT(ISNUMBER(E133)),E133&lt;0,G133&lt;&gt;"YES"),"INCOMPLETE FEES","OK"))))))</f>
        <v/>
      </c>
      <c r="J133" s="1"/>
      <c r="K133" s="1"/>
      <c r="L133" s="1"/>
      <c r="M133" s="1"/>
      <c r="N133" s="1"/>
      <c r="O133" s="1"/>
    </row>
    <row r="134" spans="1:15" ht="32" customHeight="1">
      <c r="A134" s="4"/>
      <c r="B134" s="4"/>
      <c r="C134" s="6"/>
      <c r="D134" s="4"/>
      <c r="E134" s="12"/>
      <c r="F134" s="6"/>
      <c r="G134" s="4"/>
      <c r="H134" s="14"/>
      <c r="I134" s="11" t="str">
        <f>IF(A134="",IF(COUNTA(B134:H134)&gt;0,"MISSING ID",""),IF(COUNTIFS($A$6:$A$305,A134,$B$6:$B$305,B134)&lt;&gt;1,"DUPLICATE CASE/STAGE",IF(AND(B134&lt;&gt;"INITIAL",B134&lt;&gt;"RECON",B134&lt;&gt;"HEARING"),"UNKNOWN STAGE",IF(OR(NOT(ISNUMBER(C134)),C134&gt;Assumptions!$B$5,NOT(ISNUMBER(F134)),F134&lt;C134,F134&gt;Assumptions!$B$5),"INVALID DATES",IF(AND(D134&lt;&gt;"FAVORABLE",D134&lt;&gt;"OTHER"),"UNKNOWN OUTCOME",IF(OR(NOT(ISNUMBER(E134)),E134&lt;0,G134&lt;&gt;"YES"),"INCOMPLETE FEES","OK"))))))</f>
        <v/>
      </c>
      <c r="J134" s="1"/>
      <c r="K134" s="1"/>
      <c r="L134" s="1"/>
      <c r="M134" s="1"/>
      <c r="N134" s="1"/>
      <c r="O134" s="1"/>
    </row>
    <row r="135" spans="1:15" ht="32" customHeight="1">
      <c r="A135" s="4"/>
      <c r="B135" s="4"/>
      <c r="C135" s="6"/>
      <c r="D135" s="4"/>
      <c r="E135" s="12"/>
      <c r="F135" s="6"/>
      <c r="G135" s="4"/>
      <c r="H135" s="14"/>
      <c r="I135" s="11" t="str">
        <f>IF(A135="",IF(COUNTA(B135:H135)&gt;0,"MISSING ID",""),IF(COUNTIFS($A$6:$A$305,A135,$B$6:$B$305,B135)&lt;&gt;1,"DUPLICATE CASE/STAGE",IF(AND(B135&lt;&gt;"INITIAL",B135&lt;&gt;"RECON",B135&lt;&gt;"HEARING"),"UNKNOWN STAGE",IF(OR(NOT(ISNUMBER(C135)),C135&gt;Assumptions!$B$5,NOT(ISNUMBER(F135)),F135&lt;C135,F135&gt;Assumptions!$B$5),"INVALID DATES",IF(AND(D135&lt;&gt;"FAVORABLE",D135&lt;&gt;"OTHER"),"UNKNOWN OUTCOME",IF(OR(NOT(ISNUMBER(E135)),E135&lt;0,G135&lt;&gt;"YES"),"INCOMPLETE FEES","OK"))))))</f>
        <v/>
      </c>
      <c r="J135" s="1"/>
      <c r="K135" s="1"/>
      <c r="L135" s="1"/>
      <c r="M135" s="1"/>
      <c r="N135" s="1"/>
      <c r="O135" s="1"/>
    </row>
    <row r="136" spans="1:15" ht="32" customHeight="1">
      <c r="A136" s="4"/>
      <c r="B136" s="4"/>
      <c r="C136" s="6"/>
      <c r="D136" s="4"/>
      <c r="E136" s="12"/>
      <c r="F136" s="6"/>
      <c r="G136" s="4"/>
      <c r="H136" s="14"/>
      <c r="I136" s="11" t="str">
        <f>IF(A136="",IF(COUNTA(B136:H136)&gt;0,"MISSING ID",""),IF(COUNTIFS($A$6:$A$305,A136,$B$6:$B$305,B136)&lt;&gt;1,"DUPLICATE CASE/STAGE",IF(AND(B136&lt;&gt;"INITIAL",B136&lt;&gt;"RECON",B136&lt;&gt;"HEARING"),"UNKNOWN STAGE",IF(OR(NOT(ISNUMBER(C136)),C136&gt;Assumptions!$B$5,NOT(ISNUMBER(F136)),F136&lt;C136,F136&gt;Assumptions!$B$5),"INVALID DATES",IF(AND(D136&lt;&gt;"FAVORABLE",D136&lt;&gt;"OTHER"),"UNKNOWN OUTCOME",IF(OR(NOT(ISNUMBER(E136)),E136&lt;0,G136&lt;&gt;"YES"),"INCOMPLETE FEES","OK"))))))</f>
        <v/>
      </c>
      <c r="J136" s="1"/>
      <c r="K136" s="1"/>
      <c r="L136" s="1"/>
      <c r="M136" s="1"/>
      <c r="N136" s="1"/>
      <c r="O136" s="1"/>
    </row>
    <row r="137" spans="1:15" ht="32" customHeight="1">
      <c r="A137" s="4"/>
      <c r="B137" s="4"/>
      <c r="C137" s="6"/>
      <c r="D137" s="4"/>
      <c r="E137" s="12"/>
      <c r="F137" s="6"/>
      <c r="G137" s="4"/>
      <c r="H137" s="14"/>
      <c r="I137" s="11" t="str">
        <f>IF(A137="",IF(COUNTA(B137:H137)&gt;0,"MISSING ID",""),IF(COUNTIFS($A$6:$A$305,A137,$B$6:$B$305,B137)&lt;&gt;1,"DUPLICATE CASE/STAGE",IF(AND(B137&lt;&gt;"INITIAL",B137&lt;&gt;"RECON",B137&lt;&gt;"HEARING"),"UNKNOWN STAGE",IF(OR(NOT(ISNUMBER(C137)),C137&gt;Assumptions!$B$5,NOT(ISNUMBER(F137)),F137&lt;C137,F137&gt;Assumptions!$B$5),"INVALID DATES",IF(AND(D137&lt;&gt;"FAVORABLE",D137&lt;&gt;"OTHER"),"UNKNOWN OUTCOME",IF(OR(NOT(ISNUMBER(E137)),E137&lt;0,G137&lt;&gt;"YES"),"INCOMPLETE FEES","OK"))))))</f>
        <v/>
      </c>
      <c r="J137" s="1"/>
      <c r="K137" s="1"/>
      <c r="L137" s="1"/>
      <c r="M137" s="1"/>
      <c r="N137" s="1"/>
      <c r="O137" s="1"/>
    </row>
    <row r="138" spans="1:15" ht="32" customHeight="1">
      <c r="A138" s="4"/>
      <c r="B138" s="4"/>
      <c r="C138" s="6"/>
      <c r="D138" s="4"/>
      <c r="E138" s="12"/>
      <c r="F138" s="6"/>
      <c r="G138" s="4"/>
      <c r="H138" s="14"/>
      <c r="I138" s="11" t="str">
        <f>IF(A138="",IF(COUNTA(B138:H138)&gt;0,"MISSING ID",""),IF(COUNTIFS($A$6:$A$305,A138,$B$6:$B$305,B138)&lt;&gt;1,"DUPLICATE CASE/STAGE",IF(AND(B138&lt;&gt;"INITIAL",B138&lt;&gt;"RECON",B138&lt;&gt;"HEARING"),"UNKNOWN STAGE",IF(OR(NOT(ISNUMBER(C138)),C138&gt;Assumptions!$B$5,NOT(ISNUMBER(F138)),F138&lt;C138,F138&gt;Assumptions!$B$5),"INVALID DATES",IF(AND(D138&lt;&gt;"FAVORABLE",D138&lt;&gt;"OTHER"),"UNKNOWN OUTCOME",IF(OR(NOT(ISNUMBER(E138)),E138&lt;0,G138&lt;&gt;"YES"),"INCOMPLETE FEES","OK"))))))</f>
        <v/>
      </c>
      <c r="J138" s="1"/>
      <c r="K138" s="1"/>
      <c r="L138" s="1"/>
      <c r="M138" s="1"/>
      <c r="N138" s="1"/>
      <c r="O138" s="1"/>
    </row>
    <row r="139" spans="1:15" ht="32" customHeight="1">
      <c r="A139" s="4"/>
      <c r="B139" s="4"/>
      <c r="C139" s="6"/>
      <c r="D139" s="4"/>
      <c r="E139" s="12"/>
      <c r="F139" s="6"/>
      <c r="G139" s="4"/>
      <c r="H139" s="14"/>
      <c r="I139" s="11" t="str">
        <f>IF(A139="",IF(COUNTA(B139:H139)&gt;0,"MISSING ID",""),IF(COUNTIFS($A$6:$A$305,A139,$B$6:$B$305,B139)&lt;&gt;1,"DUPLICATE CASE/STAGE",IF(AND(B139&lt;&gt;"INITIAL",B139&lt;&gt;"RECON",B139&lt;&gt;"HEARING"),"UNKNOWN STAGE",IF(OR(NOT(ISNUMBER(C139)),C139&gt;Assumptions!$B$5,NOT(ISNUMBER(F139)),F139&lt;C139,F139&gt;Assumptions!$B$5),"INVALID DATES",IF(AND(D139&lt;&gt;"FAVORABLE",D139&lt;&gt;"OTHER"),"UNKNOWN OUTCOME",IF(OR(NOT(ISNUMBER(E139)),E139&lt;0,G139&lt;&gt;"YES"),"INCOMPLETE FEES","OK"))))))</f>
        <v/>
      </c>
      <c r="J139" s="1"/>
      <c r="K139" s="1"/>
      <c r="L139" s="1"/>
      <c r="M139" s="1"/>
      <c r="N139" s="1"/>
      <c r="O139" s="1"/>
    </row>
    <row r="140" spans="1:15" ht="32" customHeight="1">
      <c r="A140" s="4"/>
      <c r="B140" s="4"/>
      <c r="C140" s="6"/>
      <c r="D140" s="4"/>
      <c r="E140" s="12"/>
      <c r="F140" s="6"/>
      <c r="G140" s="4"/>
      <c r="H140" s="14"/>
      <c r="I140" s="11" t="str">
        <f>IF(A140="",IF(COUNTA(B140:H140)&gt;0,"MISSING ID",""),IF(COUNTIFS($A$6:$A$305,A140,$B$6:$B$305,B140)&lt;&gt;1,"DUPLICATE CASE/STAGE",IF(AND(B140&lt;&gt;"INITIAL",B140&lt;&gt;"RECON",B140&lt;&gt;"HEARING"),"UNKNOWN STAGE",IF(OR(NOT(ISNUMBER(C140)),C140&gt;Assumptions!$B$5,NOT(ISNUMBER(F140)),F140&lt;C140,F140&gt;Assumptions!$B$5),"INVALID DATES",IF(AND(D140&lt;&gt;"FAVORABLE",D140&lt;&gt;"OTHER"),"UNKNOWN OUTCOME",IF(OR(NOT(ISNUMBER(E140)),E140&lt;0,G140&lt;&gt;"YES"),"INCOMPLETE FEES","OK"))))))</f>
        <v/>
      </c>
      <c r="J140" s="1"/>
      <c r="K140" s="1"/>
      <c r="L140" s="1"/>
      <c r="M140" s="1"/>
      <c r="N140" s="1"/>
      <c r="O140" s="1"/>
    </row>
    <row r="141" spans="1:15" ht="32" customHeight="1">
      <c r="A141" s="4"/>
      <c r="B141" s="4"/>
      <c r="C141" s="6"/>
      <c r="D141" s="4"/>
      <c r="E141" s="12"/>
      <c r="F141" s="6"/>
      <c r="G141" s="4"/>
      <c r="H141" s="14"/>
      <c r="I141" s="11" t="str">
        <f>IF(A141="",IF(COUNTA(B141:H141)&gt;0,"MISSING ID",""),IF(COUNTIFS($A$6:$A$305,A141,$B$6:$B$305,B141)&lt;&gt;1,"DUPLICATE CASE/STAGE",IF(AND(B141&lt;&gt;"INITIAL",B141&lt;&gt;"RECON",B141&lt;&gt;"HEARING"),"UNKNOWN STAGE",IF(OR(NOT(ISNUMBER(C141)),C141&gt;Assumptions!$B$5,NOT(ISNUMBER(F141)),F141&lt;C141,F141&gt;Assumptions!$B$5),"INVALID DATES",IF(AND(D141&lt;&gt;"FAVORABLE",D141&lt;&gt;"OTHER"),"UNKNOWN OUTCOME",IF(OR(NOT(ISNUMBER(E141)),E141&lt;0,G141&lt;&gt;"YES"),"INCOMPLETE FEES","OK"))))))</f>
        <v/>
      </c>
      <c r="J141" s="1"/>
      <c r="K141" s="1"/>
      <c r="L141" s="1"/>
      <c r="M141" s="1"/>
      <c r="N141" s="1"/>
      <c r="O141" s="1"/>
    </row>
    <row r="142" spans="1:15" ht="32" customHeight="1">
      <c r="A142" s="4"/>
      <c r="B142" s="4"/>
      <c r="C142" s="6"/>
      <c r="D142" s="4"/>
      <c r="E142" s="12"/>
      <c r="F142" s="6"/>
      <c r="G142" s="4"/>
      <c r="H142" s="14"/>
      <c r="I142" s="11" t="str">
        <f>IF(A142="",IF(COUNTA(B142:H142)&gt;0,"MISSING ID",""),IF(COUNTIFS($A$6:$A$305,A142,$B$6:$B$305,B142)&lt;&gt;1,"DUPLICATE CASE/STAGE",IF(AND(B142&lt;&gt;"INITIAL",B142&lt;&gt;"RECON",B142&lt;&gt;"HEARING"),"UNKNOWN STAGE",IF(OR(NOT(ISNUMBER(C142)),C142&gt;Assumptions!$B$5,NOT(ISNUMBER(F142)),F142&lt;C142,F142&gt;Assumptions!$B$5),"INVALID DATES",IF(AND(D142&lt;&gt;"FAVORABLE",D142&lt;&gt;"OTHER"),"UNKNOWN OUTCOME",IF(OR(NOT(ISNUMBER(E142)),E142&lt;0,G142&lt;&gt;"YES"),"INCOMPLETE FEES","OK"))))))</f>
        <v/>
      </c>
      <c r="J142" s="1"/>
      <c r="K142" s="1"/>
      <c r="L142" s="1"/>
      <c r="M142" s="1"/>
      <c r="N142" s="1"/>
      <c r="O142" s="1"/>
    </row>
    <row r="143" spans="1:15" ht="32" customHeight="1">
      <c r="A143" s="4"/>
      <c r="B143" s="4"/>
      <c r="C143" s="6"/>
      <c r="D143" s="4"/>
      <c r="E143" s="12"/>
      <c r="F143" s="6"/>
      <c r="G143" s="4"/>
      <c r="H143" s="14"/>
      <c r="I143" s="11" t="str">
        <f>IF(A143="",IF(COUNTA(B143:H143)&gt;0,"MISSING ID",""),IF(COUNTIFS($A$6:$A$305,A143,$B$6:$B$305,B143)&lt;&gt;1,"DUPLICATE CASE/STAGE",IF(AND(B143&lt;&gt;"INITIAL",B143&lt;&gt;"RECON",B143&lt;&gt;"HEARING"),"UNKNOWN STAGE",IF(OR(NOT(ISNUMBER(C143)),C143&gt;Assumptions!$B$5,NOT(ISNUMBER(F143)),F143&lt;C143,F143&gt;Assumptions!$B$5),"INVALID DATES",IF(AND(D143&lt;&gt;"FAVORABLE",D143&lt;&gt;"OTHER"),"UNKNOWN OUTCOME",IF(OR(NOT(ISNUMBER(E143)),E143&lt;0,G143&lt;&gt;"YES"),"INCOMPLETE FEES","OK"))))))</f>
        <v/>
      </c>
      <c r="J143" s="1"/>
      <c r="K143" s="1"/>
      <c r="L143" s="1"/>
      <c r="M143" s="1"/>
      <c r="N143" s="1"/>
      <c r="O143" s="1"/>
    </row>
    <row r="144" spans="1:15" ht="32" customHeight="1">
      <c r="A144" s="4"/>
      <c r="B144" s="4"/>
      <c r="C144" s="6"/>
      <c r="D144" s="4"/>
      <c r="E144" s="12"/>
      <c r="F144" s="6"/>
      <c r="G144" s="4"/>
      <c r="H144" s="14"/>
      <c r="I144" s="11" t="str">
        <f>IF(A144="",IF(COUNTA(B144:H144)&gt;0,"MISSING ID",""),IF(COUNTIFS($A$6:$A$305,A144,$B$6:$B$305,B144)&lt;&gt;1,"DUPLICATE CASE/STAGE",IF(AND(B144&lt;&gt;"INITIAL",B144&lt;&gt;"RECON",B144&lt;&gt;"HEARING"),"UNKNOWN STAGE",IF(OR(NOT(ISNUMBER(C144)),C144&gt;Assumptions!$B$5,NOT(ISNUMBER(F144)),F144&lt;C144,F144&gt;Assumptions!$B$5),"INVALID DATES",IF(AND(D144&lt;&gt;"FAVORABLE",D144&lt;&gt;"OTHER"),"UNKNOWN OUTCOME",IF(OR(NOT(ISNUMBER(E144)),E144&lt;0,G144&lt;&gt;"YES"),"INCOMPLETE FEES","OK"))))))</f>
        <v/>
      </c>
      <c r="J144" s="1"/>
      <c r="K144" s="1"/>
      <c r="L144" s="1"/>
      <c r="M144" s="1"/>
      <c r="N144" s="1"/>
      <c r="O144" s="1"/>
    </row>
    <row r="145" spans="1:15" ht="32" customHeight="1">
      <c r="A145" s="4"/>
      <c r="B145" s="4"/>
      <c r="C145" s="6"/>
      <c r="D145" s="4"/>
      <c r="E145" s="12"/>
      <c r="F145" s="6"/>
      <c r="G145" s="4"/>
      <c r="H145" s="14"/>
      <c r="I145" s="11" t="str">
        <f>IF(A145="",IF(COUNTA(B145:H145)&gt;0,"MISSING ID",""),IF(COUNTIFS($A$6:$A$305,A145,$B$6:$B$305,B145)&lt;&gt;1,"DUPLICATE CASE/STAGE",IF(AND(B145&lt;&gt;"INITIAL",B145&lt;&gt;"RECON",B145&lt;&gt;"HEARING"),"UNKNOWN STAGE",IF(OR(NOT(ISNUMBER(C145)),C145&gt;Assumptions!$B$5,NOT(ISNUMBER(F145)),F145&lt;C145,F145&gt;Assumptions!$B$5),"INVALID DATES",IF(AND(D145&lt;&gt;"FAVORABLE",D145&lt;&gt;"OTHER"),"UNKNOWN OUTCOME",IF(OR(NOT(ISNUMBER(E145)),E145&lt;0,G145&lt;&gt;"YES"),"INCOMPLETE FEES","OK"))))))</f>
        <v/>
      </c>
      <c r="J145" s="1"/>
      <c r="K145" s="1"/>
      <c r="L145" s="1"/>
      <c r="M145" s="1"/>
      <c r="N145" s="1"/>
      <c r="O145" s="1"/>
    </row>
    <row r="146" spans="1:15" ht="32" customHeight="1">
      <c r="A146" s="4"/>
      <c r="B146" s="4"/>
      <c r="C146" s="6"/>
      <c r="D146" s="4"/>
      <c r="E146" s="12"/>
      <c r="F146" s="6"/>
      <c r="G146" s="4"/>
      <c r="H146" s="14"/>
      <c r="I146" s="11" t="str">
        <f>IF(A146="",IF(COUNTA(B146:H146)&gt;0,"MISSING ID",""),IF(COUNTIFS($A$6:$A$305,A146,$B$6:$B$305,B146)&lt;&gt;1,"DUPLICATE CASE/STAGE",IF(AND(B146&lt;&gt;"INITIAL",B146&lt;&gt;"RECON",B146&lt;&gt;"HEARING"),"UNKNOWN STAGE",IF(OR(NOT(ISNUMBER(C146)),C146&gt;Assumptions!$B$5,NOT(ISNUMBER(F146)),F146&lt;C146,F146&gt;Assumptions!$B$5),"INVALID DATES",IF(AND(D146&lt;&gt;"FAVORABLE",D146&lt;&gt;"OTHER"),"UNKNOWN OUTCOME",IF(OR(NOT(ISNUMBER(E146)),E146&lt;0,G146&lt;&gt;"YES"),"INCOMPLETE FEES","OK"))))))</f>
        <v/>
      </c>
      <c r="J146" s="1"/>
      <c r="K146" s="1"/>
      <c r="L146" s="1"/>
      <c r="M146" s="1"/>
      <c r="N146" s="1"/>
      <c r="O146" s="1"/>
    </row>
    <row r="147" spans="1:15" ht="32" customHeight="1">
      <c r="A147" s="4"/>
      <c r="B147" s="4"/>
      <c r="C147" s="6"/>
      <c r="D147" s="4"/>
      <c r="E147" s="12"/>
      <c r="F147" s="6"/>
      <c r="G147" s="4"/>
      <c r="H147" s="14"/>
      <c r="I147" s="11" t="str">
        <f>IF(A147="",IF(COUNTA(B147:H147)&gt;0,"MISSING ID",""),IF(COUNTIFS($A$6:$A$305,A147,$B$6:$B$305,B147)&lt;&gt;1,"DUPLICATE CASE/STAGE",IF(AND(B147&lt;&gt;"INITIAL",B147&lt;&gt;"RECON",B147&lt;&gt;"HEARING"),"UNKNOWN STAGE",IF(OR(NOT(ISNUMBER(C147)),C147&gt;Assumptions!$B$5,NOT(ISNUMBER(F147)),F147&lt;C147,F147&gt;Assumptions!$B$5),"INVALID DATES",IF(AND(D147&lt;&gt;"FAVORABLE",D147&lt;&gt;"OTHER"),"UNKNOWN OUTCOME",IF(OR(NOT(ISNUMBER(E147)),E147&lt;0,G147&lt;&gt;"YES"),"INCOMPLETE FEES","OK"))))))</f>
        <v/>
      </c>
      <c r="J147" s="1"/>
      <c r="K147" s="1"/>
      <c r="L147" s="1"/>
      <c r="M147" s="1"/>
      <c r="N147" s="1"/>
      <c r="O147" s="1"/>
    </row>
    <row r="148" spans="1:15" ht="32" customHeight="1">
      <c r="A148" s="4"/>
      <c r="B148" s="4"/>
      <c r="C148" s="6"/>
      <c r="D148" s="4"/>
      <c r="E148" s="12"/>
      <c r="F148" s="6"/>
      <c r="G148" s="4"/>
      <c r="H148" s="14"/>
      <c r="I148" s="11" t="str">
        <f>IF(A148="",IF(COUNTA(B148:H148)&gt;0,"MISSING ID",""),IF(COUNTIFS($A$6:$A$305,A148,$B$6:$B$305,B148)&lt;&gt;1,"DUPLICATE CASE/STAGE",IF(AND(B148&lt;&gt;"INITIAL",B148&lt;&gt;"RECON",B148&lt;&gt;"HEARING"),"UNKNOWN STAGE",IF(OR(NOT(ISNUMBER(C148)),C148&gt;Assumptions!$B$5,NOT(ISNUMBER(F148)),F148&lt;C148,F148&gt;Assumptions!$B$5),"INVALID DATES",IF(AND(D148&lt;&gt;"FAVORABLE",D148&lt;&gt;"OTHER"),"UNKNOWN OUTCOME",IF(OR(NOT(ISNUMBER(E148)),E148&lt;0,G148&lt;&gt;"YES"),"INCOMPLETE FEES","OK"))))))</f>
        <v/>
      </c>
      <c r="J148" s="1"/>
      <c r="K148" s="1"/>
      <c r="L148" s="1"/>
      <c r="M148" s="1"/>
      <c r="N148" s="1"/>
      <c r="O148" s="1"/>
    </row>
    <row r="149" spans="1:15" ht="32" customHeight="1">
      <c r="A149" s="4"/>
      <c r="B149" s="4"/>
      <c r="C149" s="6"/>
      <c r="D149" s="4"/>
      <c r="E149" s="12"/>
      <c r="F149" s="6"/>
      <c r="G149" s="4"/>
      <c r="H149" s="14"/>
      <c r="I149" s="11" t="str">
        <f>IF(A149="",IF(COUNTA(B149:H149)&gt;0,"MISSING ID",""),IF(COUNTIFS($A$6:$A$305,A149,$B$6:$B$305,B149)&lt;&gt;1,"DUPLICATE CASE/STAGE",IF(AND(B149&lt;&gt;"INITIAL",B149&lt;&gt;"RECON",B149&lt;&gt;"HEARING"),"UNKNOWN STAGE",IF(OR(NOT(ISNUMBER(C149)),C149&gt;Assumptions!$B$5,NOT(ISNUMBER(F149)),F149&lt;C149,F149&gt;Assumptions!$B$5),"INVALID DATES",IF(AND(D149&lt;&gt;"FAVORABLE",D149&lt;&gt;"OTHER"),"UNKNOWN OUTCOME",IF(OR(NOT(ISNUMBER(E149)),E149&lt;0,G149&lt;&gt;"YES"),"INCOMPLETE FEES","OK"))))))</f>
        <v/>
      </c>
      <c r="J149" s="1"/>
      <c r="K149" s="1"/>
      <c r="L149" s="1"/>
      <c r="M149" s="1"/>
      <c r="N149" s="1"/>
      <c r="O149" s="1"/>
    </row>
    <row r="150" spans="1:15" ht="32" customHeight="1">
      <c r="A150" s="4"/>
      <c r="B150" s="4"/>
      <c r="C150" s="6"/>
      <c r="D150" s="4"/>
      <c r="E150" s="12"/>
      <c r="F150" s="6"/>
      <c r="G150" s="4"/>
      <c r="H150" s="14"/>
      <c r="I150" s="11" t="str">
        <f>IF(A150="",IF(COUNTA(B150:H150)&gt;0,"MISSING ID",""),IF(COUNTIFS($A$6:$A$305,A150,$B$6:$B$305,B150)&lt;&gt;1,"DUPLICATE CASE/STAGE",IF(AND(B150&lt;&gt;"INITIAL",B150&lt;&gt;"RECON",B150&lt;&gt;"HEARING"),"UNKNOWN STAGE",IF(OR(NOT(ISNUMBER(C150)),C150&gt;Assumptions!$B$5,NOT(ISNUMBER(F150)),F150&lt;C150,F150&gt;Assumptions!$B$5),"INVALID DATES",IF(AND(D150&lt;&gt;"FAVORABLE",D150&lt;&gt;"OTHER"),"UNKNOWN OUTCOME",IF(OR(NOT(ISNUMBER(E150)),E150&lt;0,G150&lt;&gt;"YES"),"INCOMPLETE FEES","OK"))))))</f>
        <v/>
      </c>
      <c r="J150" s="1"/>
      <c r="K150" s="1"/>
      <c r="L150" s="1"/>
      <c r="M150" s="1"/>
      <c r="N150" s="1"/>
      <c r="O150" s="1"/>
    </row>
    <row r="151" spans="1:15" ht="32" customHeight="1">
      <c r="A151" s="4"/>
      <c r="B151" s="4"/>
      <c r="C151" s="6"/>
      <c r="D151" s="4"/>
      <c r="E151" s="12"/>
      <c r="F151" s="6"/>
      <c r="G151" s="4"/>
      <c r="H151" s="14"/>
      <c r="I151" s="11" t="str">
        <f>IF(A151="",IF(COUNTA(B151:H151)&gt;0,"MISSING ID",""),IF(COUNTIFS($A$6:$A$305,A151,$B$6:$B$305,B151)&lt;&gt;1,"DUPLICATE CASE/STAGE",IF(AND(B151&lt;&gt;"INITIAL",B151&lt;&gt;"RECON",B151&lt;&gt;"HEARING"),"UNKNOWN STAGE",IF(OR(NOT(ISNUMBER(C151)),C151&gt;Assumptions!$B$5,NOT(ISNUMBER(F151)),F151&lt;C151,F151&gt;Assumptions!$B$5),"INVALID DATES",IF(AND(D151&lt;&gt;"FAVORABLE",D151&lt;&gt;"OTHER"),"UNKNOWN OUTCOME",IF(OR(NOT(ISNUMBER(E151)),E151&lt;0,G151&lt;&gt;"YES"),"INCOMPLETE FEES","OK"))))))</f>
        <v/>
      </c>
      <c r="J151" s="1"/>
      <c r="K151" s="1"/>
      <c r="L151" s="1"/>
      <c r="M151" s="1"/>
      <c r="N151" s="1"/>
      <c r="O151" s="1"/>
    </row>
    <row r="152" spans="1:15" ht="32" customHeight="1">
      <c r="A152" s="4"/>
      <c r="B152" s="4"/>
      <c r="C152" s="6"/>
      <c r="D152" s="4"/>
      <c r="E152" s="12"/>
      <c r="F152" s="6"/>
      <c r="G152" s="4"/>
      <c r="H152" s="14"/>
      <c r="I152" s="11" t="str">
        <f>IF(A152="",IF(COUNTA(B152:H152)&gt;0,"MISSING ID",""),IF(COUNTIFS($A$6:$A$305,A152,$B$6:$B$305,B152)&lt;&gt;1,"DUPLICATE CASE/STAGE",IF(AND(B152&lt;&gt;"INITIAL",B152&lt;&gt;"RECON",B152&lt;&gt;"HEARING"),"UNKNOWN STAGE",IF(OR(NOT(ISNUMBER(C152)),C152&gt;Assumptions!$B$5,NOT(ISNUMBER(F152)),F152&lt;C152,F152&gt;Assumptions!$B$5),"INVALID DATES",IF(AND(D152&lt;&gt;"FAVORABLE",D152&lt;&gt;"OTHER"),"UNKNOWN OUTCOME",IF(OR(NOT(ISNUMBER(E152)),E152&lt;0,G152&lt;&gt;"YES"),"INCOMPLETE FEES","OK"))))))</f>
        <v/>
      </c>
      <c r="J152" s="1"/>
      <c r="K152" s="1"/>
      <c r="L152" s="1"/>
      <c r="M152" s="1"/>
      <c r="N152" s="1"/>
      <c r="O152" s="1"/>
    </row>
    <row r="153" spans="1:15" ht="32" customHeight="1">
      <c r="A153" s="4"/>
      <c r="B153" s="4"/>
      <c r="C153" s="6"/>
      <c r="D153" s="4"/>
      <c r="E153" s="12"/>
      <c r="F153" s="6"/>
      <c r="G153" s="4"/>
      <c r="H153" s="14"/>
      <c r="I153" s="11" t="str">
        <f>IF(A153="",IF(COUNTA(B153:H153)&gt;0,"MISSING ID",""),IF(COUNTIFS($A$6:$A$305,A153,$B$6:$B$305,B153)&lt;&gt;1,"DUPLICATE CASE/STAGE",IF(AND(B153&lt;&gt;"INITIAL",B153&lt;&gt;"RECON",B153&lt;&gt;"HEARING"),"UNKNOWN STAGE",IF(OR(NOT(ISNUMBER(C153)),C153&gt;Assumptions!$B$5,NOT(ISNUMBER(F153)),F153&lt;C153,F153&gt;Assumptions!$B$5),"INVALID DATES",IF(AND(D153&lt;&gt;"FAVORABLE",D153&lt;&gt;"OTHER"),"UNKNOWN OUTCOME",IF(OR(NOT(ISNUMBER(E153)),E153&lt;0,G153&lt;&gt;"YES"),"INCOMPLETE FEES","OK"))))))</f>
        <v/>
      </c>
      <c r="J153" s="1"/>
      <c r="K153" s="1"/>
      <c r="L153" s="1"/>
      <c r="M153" s="1"/>
      <c r="N153" s="1"/>
      <c r="O153" s="1"/>
    </row>
    <row r="154" spans="1:15" ht="32" customHeight="1">
      <c r="A154" s="4"/>
      <c r="B154" s="4"/>
      <c r="C154" s="6"/>
      <c r="D154" s="4"/>
      <c r="E154" s="12"/>
      <c r="F154" s="6"/>
      <c r="G154" s="4"/>
      <c r="H154" s="14"/>
      <c r="I154" s="11" t="str">
        <f>IF(A154="",IF(COUNTA(B154:H154)&gt;0,"MISSING ID",""),IF(COUNTIFS($A$6:$A$305,A154,$B$6:$B$305,B154)&lt;&gt;1,"DUPLICATE CASE/STAGE",IF(AND(B154&lt;&gt;"INITIAL",B154&lt;&gt;"RECON",B154&lt;&gt;"HEARING"),"UNKNOWN STAGE",IF(OR(NOT(ISNUMBER(C154)),C154&gt;Assumptions!$B$5,NOT(ISNUMBER(F154)),F154&lt;C154,F154&gt;Assumptions!$B$5),"INVALID DATES",IF(AND(D154&lt;&gt;"FAVORABLE",D154&lt;&gt;"OTHER"),"UNKNOWN OUTCOME",IF(OR(NOT(ISNUMBER(E154)),E154&lt;0,G154&lt;&gt;"YES"),"INCOMPLETE FEES","OK"))))))</f>
        <v/>
      </c>
      <c r="J154" s="1"/>
      <c r="K154" s="1"/>
      <c r="L154" s="1"/>
      <c r="M154" s="1"/>
      <c r="N154" s="1"/>
      <c r="O154" s="1"/>
    </row>
    <row r="155" spans="1:15" ht="32" customHeight="1">
      <c r="A155" s="4"/>
      <c r="B155" s="4"/>
      <c r="C155" s="6"/>
      <c r="D155" s="4"/>
      <c r="E155" s="12"/>
      <c r="F155" s="6"/>
      <c r="G155" s="4"/>
      <c r="H155" s="14"/>
      <c r="I155" s="11" t="str">
        <f>IF(A155="",IF(COUNTA(B155:H155)&gt;0,"MISSING ID",""),IF(COUNTIFS($A$6:$A$305,A155,$B$6:$B$305,B155)&lt;&gt;1,"DUPLICATE CASE/STAGE",IF(AND(B155&lt;&gt;"INITIAL",B155&lt;&gt;"RECON",B155&lt;&gt;"HEARING"),"UNKNOWN STAGE",IF(OR(NOT(ISNUMBER(C155)),C155&gt;Assumptions!$B$5,NOT(ISNUMBER(F155)),F155&lt;C155,F155&gt;Assumptions!$B$5),"INVALID DATES",IF(AND(D155&lt;&gt;"FAVORABLE",D155&lt;&gt;"OTHER"),"UNKNOWN OUTCOME",IF(OR(NOT(ISNUMBER(E155)),E155&lt;0,G155&lt;&gt;"YES"),"INCOMPLETE FEES","OK"))))))</f>
        <v/>
      </c>
      <c r="J155" s="1"/>
      <c r="K155" s="1"/>
      <c r="L155" s="1"/>
      <c r="M155" s="1"/>
      <c r="N155" s="1"/>
      <c r="O155" s="1"/>
    </row>
    <row r="156" spans="1:15" ht="32" customHeight="1">
      <c r="A156" s="4"/>
      <c r="B156" s="4"/>
      <c r="C156" s="6"/>
      <c r="D156" s="4"/>
      <c r="E156" s="12"/>
      <c r="F156" s="6"/>
      <c r="G156" s="4"/>
      <c r="H156" s="14"/>
      <c r="I156" s="11" t="str">
        <f>IF(A156="",IF(COUNTA(B156:H156)&gt;0,"MISSING ID",""),IF(COUNTIFS($A$6:$A$305,A156,$B$6:$B$305,B156)&lt;&gt;1,"DUPLICATE CASE/STAGE",IF(AND(B156&lt;&gt;"INITIAL",B156&lt;&gt;"RECON",B156&lt;&gt;"HEARING"),"UNKNOWN STAGE",IF(OR(NOT(ISNUMBER(C156)),C156&gt;Assumptions!$B$5,NOT(ISNUMBER(F156)),F156&lt;C156,F156&gt;Assumptions!$B$5),"INVALID DATES",IF(AND(D156&lt;&gt;"FAVORABLE",D156&lt;&gt;"OTHER"),"UNKNOWN OUTCOME",IF(OR(NOT(ISNUMBER(E156)),E156&lt;0,G156&lt;&gt;"YES"),"INCOMPLETE FEES","OK"))))))</f>
        <v/>
      </c>
      <c r="J156" s="1"/>
      <c r="K156" s="1"/>
      <c r="L156" s="1"/>
      <c r="M156" s="1"/>
      <c r="N156" s="1"/>
      <c r="O156" s="1"/>
    </row>
    <row r="157" spans="1:15" ht="32" customHeight="1">
      <c r="A157" s="4"/>
      <c r="B157" s="4"/>
      <c r="C157" s="6"/>
      <c r="D157" s="4"/>
      <c r="E157" s="12"/>
      <c r="F157" s="6"/>
      <c r="G157" s="4"/>
      <c r="H157" s="14"/>
      <c r="I157" s="11" t="str">
        <f>IF(A157="",IF(COUNTA(B157:H157)&gt;0,"MISSING ID",""),IF(COUNTIFS($A$6:$A$305,A157,$B$6:$B$305,B157)&lt;&gt;1,"DUPLICATE CASE/STAGE",IF(AND(B157&lt;&gt;"INITIAL",B157&lt;&gt;"RECON",B157&lt;&gt;"HEARING"),"UNKNOWN STAGE",IF(OR(NOT(ISNUMBER(C157)),C157&gt;Assumptions!$B$5,NOT(ISNUMBER(F157)),F157&lt;C157,F157&gt;Assumptions!$B$5),"INVALID DATES",IF(AND(D157&lt;&gt;"FAVORABLE",D157&lt;&gt;"OTHER"),"UNKNOWN OUTCOME",IF(OR(NOT(ISNUMBER(E157)),E157&lt;0,G157&lt;&gt;"YES"),"INCOMPLETE FEES","OK"))))))</f>
        <v/>
      </c>
      <c r="J157" s="1"/>
      <c r="K157" s="1"/>
      <c r="L157" s="1"/>
      <c r="M157" s="1"/>
      <c r="N157" s="1"/>
      <c r="O157" s="1"/>
    </row>
    <row r="158" spans="1:15" ht="32" customHeight="1">
      <c r="A158" s="4"/>
      <c r="B158" s="4"/>
      <c r="C158" s="6"/>
      <c r="D158" s="4"/>
      <c r="E158" s="12"/>
      <c r="F158" s="6"/>
      <c r="G158" s="4"/>
      <c r="H158" s="14"/>
      <c r="I158" s="11" t="str">
        <f>IF(A158="",IF(COUNTA(B158:H158)&gt;0,"MISSING ID",""),IF(COUNTIFS($A$6:$A$305,A158,$B$6:$B$305,B158)&lt;&gt;1,"DUPLICATE CASE/STAGE",IF(AND(B158&lt;&gt;"INITIAL",B158&lt;&gt;"RECON",B158&lt;&gt;"HEARING"),"UNKNOWN STAGE",IF(OR(NOT(ISNUMBER(C158)),C158&gt;Assumptions!$B$5,NOT(ISNUMBER(F158)),F158&lt;C158,F158&gt;Assumptions!$B$5),"INVALID DATES",IF(AND(D158&lt;&gt;"FAVORABLE",D158&lt;&gt;"OTHER"),"UNKNOWN OUTCOME",IF(OR(NOT(ISNUMBER(E158)),E158&lt;0,G158&lt;&gt;"YES"),"INCOMPLETE FEES","OK"))))))</f>
        <v/>
      </c>
      <c r="J158" s="1"/>
      <c r="K158" s="1"/>
      <c r="L158" s="1"/>
      <c r="M158" s="1"/>
      <c r="N158" s="1"/>
      <c r="O158" s="1"/>
    </row>
    <row r="159" spans="1:15" ht="32" customHeight="1">
      <c r="A159" s="4"/>
      <c r="B159" s="4"/>
      <c r="C159" s="6"/>
      <c r="D159" s="4"/>
      <c r="E159" s="12"/>
      <c r="F159" s="6"/>
      <c r="G159" s="4"/>
      <c r="H159" s="14"/>
      <c r="I159" s="11" t="str">
        <f>IF(A159="",IF(COUNTA(B159:H159)&gt;0,"MISSING ID",""),IF(COUNTIFS($A$6:$A$305,A159,$B$6:$B$305,B159)&lt;&gt;1,"DUPLICATE CASE/STAGE",IF(AND(B159&lt;&gt;"INITIAL",B159&lt;&gt;"RECON",B159&lt;&gt;"HEARING"),"UNKNOWN STAGE",IF(OR(NOT(ISNUMBER(C159)),C159&gt;Assumptions!$B$5,NOT(ISNUMBER(F159)),F159&lt;C159,F159&gt;Assumptions!$B$5),"INVALID DATES",IF(AND(D159&lt;&gt;"FAVORABLE",D159&lt;&gt;"OTHER"),"UNKNOWN OUTCOME",IF(OR(NOT(ISNUMBER(E159)),E159&lt;0,G159&lt;&gt;"YES"),"INCOMPLETE FEES","OK"))))))</f>
        <v/>
      </c>
      <c r="J159" s="1"/>
      <c r="K159" s="1"/>
      <c r="L159" s="1"/>
      <c r="M159" s="1"/>
      <c r="N159" s="1"/>
      <c r="O159" s="1"/>
    </row>
    <row r="160" spans="1:15" ht="32" customHeight="1">
      <c r="A160" s="4"/>
      <c r="B160" s="4"/>
      <c r="C160" s="6"/>
      <c r="D160" s="4"/>
      <c r="E160" s="12"/>
      <c r="F160" s="6"/>
      <c r="G160" s="4"/>
      <c r="H160" s="14"/>
      <c r="I160" s="11" t="str">
        <f>IF(A160="",IF(COUNTA(B160:H160)&gt;0,"MISSING ID",""),IF(COUNTIFS($A$6:$A$305,A160,$B$6:$B$305,B160)&lt;&gt;1,"DUPLICATE CASE/STAGE",IF(AND(B160&lt;&gt;"INITIAL",B160&lt;&gt;"RECON",B160&lt;&gt;"HEARING"),"UNKNOWN STAGE",IF(OR(NOT(ISNUMBER(C160)),C160&gt;Assumptions!$B$5,NOT(ISNUMBER(F160)),F160&lt;C160,F160&gt;Assumptions!$B$5),"INVALID DATES",IF(AND(D160&lt;&gt;"FAVORABLE",D160&lt;&gt;"OTHER"),"UNKNOWN OUTCOME",IF(OR(NOT(ISNUMBER(E160)),E160&lt;0,G160&lt;&gt;"YES"),"INCOMPLETE FEES","OK"))))))</f>
        <v/>
      </c>
      <c r="J160" s="1"/>
      <c r="K160" s="1"/>
      <c r="L160" s="1"/>
      <c r="M160" s="1"/>
      <c r="N160" s="1"/>
      <c r="O160" s="1"/>
    </row>
    <row r="161" spans="1:15" ht="32" customHeight="1">
      <c r="A161" s="4"/>
      <c r="B161" s="4"/>
      <c r="C161" s="6"/>
      <c r="D161" s="4"/>
      <c r="E161" s="12"/>
      <c r="F161" s="6"/>
      <c r="G161" s="4"/>
      <c r="H161" s="14"/>
      <c r="I161" s="11" t="str">
        <f>IF(A161="",IF(COUNTA(B161:H161)&gt;0,"MISSING ID",""),IF(COUNTIFS($A$6:$A$305,A161,$B$6:$B$305,B161)&lt;&gt;1,"DUPLICATE CASE/STAGE",IF(AND(B161&lt;&gt;"INITIAL",B161&lt;&gt;"RECON",B161&lt;&gt;"HEARING"),"UNKNOWN STAGE",IF(OR(NOT(ISNUMBER(C161)),C161&gt;Assumptions!$B$5,NOT(ISNUMBER(F161)),F161&lt;C161,F161&gt;Assumptions!$B$5),"INVALID DATES",IF(AND(D161&lt;&gt;"FAVORABLE",D161&lt;&gt;"OTHER"),"UNKNOWN OUTCOME",IF(OR(NOT(ISNUMBER(E161)),E161&lt;0,G161&lt;&gt;"YES"),"INCOMPLETE FEES","OK"))))))</f>
        <v/>
      </c>
      <c r="J161" s="1"/>
      <c r="K161" s="1"/>
      <c r="L161" s="1"/>
      <c r="M161" s="1"/>
      <c r="N161" s="1"/>
      <c r="O161" s="1"/>
    </row>
    <row r="162" spans="1:15" ht="32" customHeight="1">
      <c r="A162" s="4"/>
      <c r="B162" s="4"/>
      <c r="C162" s="6"/>
      <c r="D162" s="4"/>
      <c r="E162" s="12"/>
      <c r="F162" s="6"/>
      <c r="G162" s="4"/>
      <c r="H162" s="14"/>
      <c r="I162" s="11" t="str">
        <f>IF(A162="",IF(COUNTA(B162:H162)&gt;0,"MISSING ID",""),IF(COUNTIFS($A$6:$A$305,A162,$B$6:$B$305,B162)&lt;&gt;1,"DUPLICATE CASE/STAGE",IF(AND(B162&lt;&gt;"INITIAL",B162&lt;&gt;"RECON",B162&lt;&gt;"HEARING"),"UNKNOWN STAGE",IF(OR(NOT(ISNUMBER(C162)),C162&gt;Assumptions!$B$5,NOT(ISNUMBER(F162)),F162&lt;C162,F162&gt;Assumptions!$B$5),"INVALID DATES",IF(AND(D162&lt;&gt;"FAVORABLE",D162&lt;&gt;"OTHER"),"UNKNOWN OUTCOME",IF(OR(NOT(ISNUMBER(E162)),E162&lt;0,G162&lt;&gt;"YES"),"INCOMPLETE FEES","OK"))))))</f>
        <v/>
      </c>
      <c r="J162" s="1"/>
      <c r="K162" s="1"/>
      <c r="L162" s="1"/>
      <c r="M162" s="1"/>
      <c r="N162" s="1"/>
      <c r="O162" s="1"/>
    </row>
    <row r="163" spans="1:15" ht="32" customHeight="1">
      <c r="A163" s="4"/>
      <c r="B163" s="4"/>
      <c r="C163" s="6"/>
      <c r="D163" s="4"/>
      <c r="E163" s="12"/>
      <c r="F163" s="6"/>
      <c r="G163" s="4"/>
      <c r="H163" s="14"/>
      <c r="I163" s="11" t="str">
        <f>IF(A163="",IF(COUNTA(B163:H163)&gt;0,"MISSING ID",""),IF(COUNTIFS($A$6:$A$305,A163,$B$6:$B$305,B163)&lt;&gt;1,"DUPLICATE CASE/STAGE",IF(AND(B163&lt;&gt;"INITIAL",B163&lt;&gt;"RECON",B163&lt;&gt;"HEARING"),"UNKNOWN STAGE",IF(OR(NOT(ISNUMBER(C163)),C163&gt;Assumptions!$B$5,NOT(ISNUMBER(F163)),F163&lt;C163,F163&gt;Assumptions!$B$5),"INVALID DATES",IF(AND(D163&lt;&gt;"FAVORABLE",D163&lt;&gt;"OTHER"),"UNKNOWN OUTCOME",IF(OR(NOT(ISNUMBER(E163)),E163&lt;0,G163&lt;&gt;"YES"),"INCOMPLETE FEES","OK"))))))</f>
        <v/>
      </c>
      <c r="J163" s="1"/>
      <c r="K163" s="1"/>
      <c r="L163" s="1"/>
      <c r="M163" s="1"/>
      <c r="N163" s="1"/>
      <c r="O163" s="1"/>
    </row>
    <row r="164" spans="1:15" ht="32" customHeight="1">
      <c r="A164" s="4"/>
      <c r="B164" s="4"/>
      <c r="C164" s="6"/>
      <c r="D164" s="4"/>
      <c r="E164" s="12"/>
      <c r="F164" s="6"/>
      <c r="G164" s="4"/>
      <c r="H164" s="14"/>
      <c r="I164" s="11" t="str">
        <f>IF(A164="",IF(COUNTA(B164:H164)&gt;0,"MISSING ID",""),IF(COUNTIFS($A$6:$A$305,A164,$B$6:$B$305,B164)&lt;&gt;1,"DUPLICATE CASE/STAGE",IF(AND(B164&lt;&gt;"INITIAL",B164&lt;&gt;"RECON",B164&lt;&gt;"HEARING"),"UNKNOWN STAGE",IF(OR(NOT(ISNUMBER(C164)),C164&gt;Assumptions!$B$5,NOT(ISNUMBER(F164)),F164&lt;C164,F164&gt;Assumptions!$B$5),"INVALID DATES",IF(AND(D164&lt;&gt;"FAVORABLE",D164&lt;&gt;"OTHER"),"UNKNOWN OUTCOME",IF(OR(NOT(ISNUMBER(E164)),E164&lt;0,G164&lt;&gt;"YES"),"INCOMPLETE FEES","OK"))))))</f>
        <v/>
      </c>
      <c r="J164" s="1"/>
      <c r="K164" s="1"/>
      <c r="L164" s="1"/>
      <c r="M164" s="1"/>
      <c r="N164" s="1"/>
      <c r="O164" s="1"/>
    </row>
    <row r="165" spans="1:15" ht="32" customHeight="1">
      <c r="A165" s="4"/>
      <c r="B165" s="4"/>
      <c r="C165" s="6"/>
      <c r="D165" s="4"/>
      <c r="E165" s="12"/>
      <c r="F165" s="6"/>
      <c r="G165" s="4"/>
      <c r="H165" s="14"/>
      <c r="I165" s="11" t="str">
        <f>IF(A165="",IF(COUNTA(B165:H165)&gt;0,"MISSING ID",""),IF(COUNTIFS($A$6:$A$305,A165,$B$6:$B$305,B165)&lt;&gt;1,"DUPLICATE CASE/STAGE",IF(AND(B165&lt;&gt;"INITIAL",B165&lt;&gt;"RECON",B165&lt;&gt;"HEARING"),"UNKNOWN STAGE",IF(OR(NOT(ISNUMBER(C165)),C165&gt;Assumptions!$B$5,NOT(ISNUMBER(F165)),F165&lt;C165,F165&gt;Assumptions!$B$5),"INVALID DATES",IF(AND(D165&lt;&gt;"FAVORABLE",D165&lt;&gt;"OTHER"),"UNKNOWN OUTCOME",IF(OR(NOT(ISNUMBER(E165)),E165&lt;0,G165&lt;&gt;"YES"),"INCOMPLETE FEES","OK"))))))</f>
        <v/>
      </c>
      <c r="J165" s="1"/>
      <c r="K165" s="1"/>
      <c r="L165" s="1"/>
      <c r="M165" s="1"/>
      <c r="N165" s="1"/>
      <c r="O165" s="1"/>
    </row>
    <row r="166" spans="1:15" ht="32" customHeight="1">
      <c r="A166" s="4"/>
      <c r="B166" s="4"/>
      <c r="C166" s="6"/>
      <c r="D166" s="4"/>
      <c r="E166" s="12"/>
      <c r="F166" s="6"/>
      <c r="G166" s="4"/>
      <c r="H166" s="14"/>
      <c r="I166" s="11" t="str">
        <f>IF(A166="",IF(COUNTA(B166:H166)&gt;0,"MISSING ID",""),IF(COUNTIFS($A$6:$A$305,A166,$B$6:$B$305,B166)&lt;&gt;1,"DUPLICATE CASE/STAGE",IF(AND(B166&lt;&gt;"INITIAL",B166&lt;&gt;"RECON",B166&lt;&gt;"HEARING"),"UNKNOWN STAGE",IF(OR(NOT(ISNUMBER(C166)),C166&gt;Assumptions!$B$5,NOT(ISNUMBER(F166)),F166&lt;C166,F166&gt;Assumptions!$B$5),"INVALID DATES",IF(AND(D166&lt;&gt;"FAVORABLE",D166&lt;&gt;"OTHER"),"UNKNOWN OUTCOME",IF(OR(NOT(ISNUMBER(E166)),E166&lt;0,G166&lt;&gt;"YES"),"INCOMPLETE FEES","OK"))))))</f>
        <v/>
      </c>
      <c r="J166" s="1"/>
      <c r="K166" s="1"/>
      <c r="L166" s="1"/>
      <c r="M166" s="1"/>
      <c r="N166" s="1"/>
      <c r="O166" s="1"/>
    </row>
    <row r="167" spans="1:15" ht="32" customHeight="1">
      <c r="A167" s="4"/>
      <c r="B167" s="4"/>
      <c r="C167" s="6"/>
      <c r="D167" s="4"/>
      <c r="E167" s="12"/>
      <c r="F167" s="6"/>
      <c r="G167" s="4"/>
      <c r="H167" s="14"/>
      <c r="I167" s="11" t="str">
        <f>IF(A167="",IF(COUNTA(B167:H167)&gt;0,"MISSING ID",""),IF(COUNTIFS($A$6:$A$305,A167,$B$6:$B$305,B167)&lt;&gt;1,"DUPLICATE CASE/STAGE",IF(AND(B167&lt;&gt;"INITIAL",B167&lt;&gt;"RECON",B167&lt;&gt;"HEARING"),"UNKNOWN STAGE",IF(OR(NOT(ISNUMBER(C167)),C167&gt;Assumptions!$B$5,NOT(ISNUMBER(F167)),F167&lt;C167,F167&gt;Assumptions!$B$5),"INVALID DATES",IF(AND(D167&lt;&gt;"FAVORABLE",D167&lt;&gt;"OTHER"),"UNKNOWN OUTCOME",IF(OR(NOT(ISNUMBER(E167)),E167&lt;0,G167&lt;&gt;"YES"),"INCOMPLETE FEES","OK"))))))</f>
        <v/>
      </c>
      <c r="J167" s="1"/>
      <c r="K167" s="1"/>
      <c r="L167" s="1"/>
      <c r="M167" s="1"/>
      <c r="N167" s="1"/>
      <c r="O167" s="1"/>
    </row>
    <row r="168" spans="1:15" ht="32" customHeight="1">
      <c r="A168" s="4"/>
      <c r="B168" s="4"/>
      <c r="C168" s="6"/>
      <c r="D168" s="4"/>
      <c r="E168" s="12"/>
      <c r="F168" s="6"/>
      <c r="G168" s="4"/>
      <c r="H168" s="14"/>
      <c r="I168" s="11" t="str">
        <f>IF(A168="",IF(COUNTA(B168:H168)&gt;0,"MISSING ID",""),IF(COUNTIFS($A$6:$A$305,A168,$B$6:$B$305,B168)&lt;&gt;1,"DUPLICATE CASE/STAGE",IF(AND(B168&lt;&gt;"INITIAL",B168&lt;&gt;"RECON",B168&lt;&gt;"HEARING"),"UNKNOWN STAGE",IF(OR(NOT(ISNUMBER(C168)),C168&gt;Assumptions!$B$5,NOT(ISNUMBER(F168)),F168&lt;C168,F168&gt;Assumptions!$B$5),"INVALID DATES",IF(AND(D168&lt;&gt;"FAVORABLE",D168&lt;&gt;"OTHER"),"UNKNOWN OUTCOME",IF(OR(NOT(ISNUMBER(E168)),E168&lt;0,G168&lt;&gt;"YES"),"INCOMPLETE FEES","OK"))))))</f>
        <v/>
      </c>
      <c r="J168" s="1"/>
      <c r="K168" s="1"/>
      <c r="L168" s="1"/>
      <c r="M168" s="1"/>
      <c r="N168" s="1"/>
      <c r="O168" s="1"/>
    </row>
    <row r="169" spans="1:15" ht="32" customHeight="1">
      <c r="A169" s="4"/>
      <c r="B169" s="4"/>
      <c r="C169" s="6"/>
      <c r="D169" s="4"/>
      <c r="E169" s="12"/>
      <c r="F169" s="6"/>
      <c r="G169" s="4"/>
      <c r="H169" s="14"/>
      <c r="I169" s="11" t="str">
        <f>IF(A169="",IF(COUNTA(B169:H169)&gt;0,"MISSING ID",""),IF(COUNTIFS($A$6:$A$305,A169,$B$6:$B$305,B169)&lt;&gt;1,"DUPLICATE CASE/STAGE",IF(AND(B169&lt;&gt;"INITIAL",B169&lt;&gt;"RECON",B169&lt;&gt;"HEARING"),"UNKNOWN STAGE",IF(OR(NOT(ISNUMBER(C169)),C169&gt;Assumptions!$B$5,NOT(ISNUMBER(F169)),F169&lt;C169,F169&gt;Assumptions!$B$5),"INVALID DATES",IF(AND(D169&lt;&gt;"FAVORABLE",D169&lt;&gt;"OTHER"),"UNKNOWN OUTCOME",IF(OR(NOT(ISNUMBER(E169)),E169&lt;0,G169&lt;&gt;"YES"),"INCOMPLETE FEES","OK"))))))</f>
        <v/>
      </c>
      <c r="J169" s="1"/>
      <c r="K169" s="1"/>
      <c r="L169" s="1"/>
      <c r="M169" s="1"/>
      <c r="N169" s="1"/>
      <c r="O169" s="1"/>
    </row>
    <row r="170" spans="1:15" ht="32" customHeight="1">
      <c r="A170" s="4"/>
      <c r="B170" s="4"/>
      <c r="C170" s="6"/>
      <c r="D170" s="4"/>
      <c r="E170" s="12"/>
      <c r="F170" s="6"/>
      <c r="G170" s="4"/>
      <c r="H170" s="14"/>
      <c r="I170" s="11" t="str">
        <f>IF(A170="",IF(COUNTA(B170:H170)&gt;0,"MISSING ID",""),IF(COUNTIFS($A$6:$A$305,A170,$B$6:$B$305,B170)&lt;&gt;1,"DUPLICATE CASE/STAGE",IF(AND(B170&lt;&gt;"INITIAL",B170&lt;&gt;"RECON",B170&lt;&gt;"HEARING"),"UNKNOWN STAGE",IF(OR(NOT(ISNUMBER(C170)),C170&gt;Assumptions!$B$5,NOT(ISNUMBER(F170)),F170&lt;C170,F170&gt;Assumptions!$B$5),"INVALID DATES",IF(AND(D170&lt;&gt;"FAVORABLE",D170&lt;&gt;"OTHER"),"UNKNOWN OUTCOME",IF(OR(NOT(ISNUMBER(E170)),E170&lt;0,G170&lt;&gt;"YES"),"INCOMPLETE FEES","OK"))))))</f>
        <v/>
      </c>
      <c r="J170" s="1"/>
      <c r="K170" s="1"/>
      <c r="L170" s="1"/>
      <c r="M170" s="1"/>
      <c r="N170" s="1"/>
      <c r="O170" s="1"/>
    </row>
    <row r="171" spans="1:15" ht="32" customHeight="1">
      <c r="A171" s="4"/>
      <c r="B171" s="4"/>
      <c r="C171" s="6"/>
      <c r="D171" s="4"/>
      <c r="E171" s="12"/>
      <c r="F171" s="6"/>
      <c r="G171" s="4"/>
      <c r="H171" s="14"/>
      <c r="I171" s="11" t="str">
        <f>IF(A171="",IF(COUNTA(B171:H171)&gt;0,"MISSING ID",""),IF(COUNTIFS($A$6:$A$305,A171,$B$6:$B$305,B171)&lt;&gt;1,"DUPLICATE CASE/STAGE",IF(AND(B171&lt;&gt;"INITIAL",B171&lt;&gt;"RECON",B171&lt;&gt;"HEARING"),"UNKNOWN STAGE",IF(OR(NOT(ISNUMBER(C171)),C171&gt;Assumptions!$B$5,NOT(ISNUMBER(F171)),F171&lt;C171,F171&gt;Assumptions!$B$5),"INVALID DATES",IF(AND(D171&lt;&gt;"FAVORABLE",D171&lt;&gt;"OTHER"),"UNKNOWN OUTCOME",IF(OR(NOT(ISNUMBER(E171)),E171&lt;0,G171&lt;&gt;"YES"),"INCOMPLETE FEES","OK"))))))</f>
        <v/>
      </c>
      <c r="J171" s="1"/>
      <c r="K171" s="1"/>
      <c r="L171" s="1"/>
      <c r="M171" s="1"/>
      <c r="N171" s="1"/>
      <c r="O171" s="1"/>
    </row>
    <row r="172" spans="1:15" ht="32" customHeight="1">
      <c r="A172" s="4"/>
      <c r="B172" s="4"/>
      <c r="C172" s="6"/>
      <c r="D172" s="4"/>
      <c r="E172" s="12"/>
      <c r="F172" s="6"/>
      <c r="G172" s="4"/>
      <c r="H172" s="14"/>
      <c r="I172" s="11" t="str">
        <f>IF(A172="",IF(COUNTA(B172:H172)&gt;0,"MISSING ID",""),IF(COUNTIFS($A$6:$A$305,A172,$B$6:$B$305,B172)&lt;&gt;1,"DUPLICATE CASE/STAGE",IF(AND(B172&lt;&gt;"INITIAL",B172&lt;&gt;"RECON",B172&lt;&gt;"HEARING"),"UNKNOWN STAGE",IF(OR(NOT(ISNUMBER(C172)),C172&gt;Assumptions!$B$5,NOT(ISNUMBER(F172)),F172&lt;C172,F172&gt;Assumptions!$B$5),"INVALID DATES",IF(AND(D172&lt;&gt;"FAVORABLE",D172&lt;&gt;"OTHER"),"UNKNOWN OUTCOME",IF(OR(NOT(ISNUMBER(E172)),E172&lt;0,G172&lt;&gt;"YES"),"INCOMPLETE FEES","OK"))))))</f>
        <v/>
      </c>
      <c r="J172" s="1"/>
      <c r="K172" s="1"/>
      <c r="L172" s="1"/>
      <c r="M172" s="1"/>
      <c r="N172" s="1"/>
      <c r="O172" s="1"/>
    </row>
    <row r="173" spans="1:15" ht="32" customHeight="1">
      <c r="A173" s="4"/>
      <c r="B173" s="4"/>
      <c r="C173" s="6"/>
      <c r="D173" s="4"/>
      <c r="E173" s="12"/>
      <c r="F173" s="6"/>
      <c r="G173" s="4"/>
      <c r="H173" s="14"/>
      <c r="I173" s="11" t="str">
        <f>IF(A173="",IF(COUNTA(B173:H173)&gt;0,"MISSING ID",""),IF(COUNTIFS($A$6:$A$305,A173,$B$6:$B$305,B173)&lt;&gt;1,"DUPLICATE CASE/STAGE",IF(AND(B173&lt;&gt;"INITIAL",B173&lt;&gt;"RECON",B173&lt;&gt;"HEARING"),"UNKNOWN STAGE",IF(OR(NOT(ISNUMBER(C173)),C173&gt;Assumptions!$B$5,NOT(ISNUMBER(F173)),F173&lt;C173,F173&gt;Assumptions!$B$5),"INVALID DATES",IF(AND(D173&lt;&gt;"FAVORABLE",D173&lt;&gt;"OTHER"),"UNKNOWN OUTCOME",IF(OR(NOT(ISNUMBER(E173)),E173&lt;0,G173&lt;&gt;"YES"),"INCOMPLETE FEES","OK"))))))</f>
        <v/>
      </c>
      <c r="J173" s="1"/>
      <c r="K173" s="1"/>
      <c r="L173" s="1"/>
      <c r="M173" s="1"/>
      <c r="N173" s="1"/>
      <c r="O173" s="1"/>
    </row>
    <row r="174" spans="1:15" ht="32" customHeight="1">
      <c r="A174" s="4"/>
      <c r="B174" s="4"/>
      <c r="C174" s="6"/>
      <c r="D174" s="4"/>
      <c r="E174" s="12"/>
      <c r="F174" s="6"/>
      <c r="G174" s="4"/>
      <c r="H174" s="14"/>
      <c r="I174" s="11" t="str">
        <f>IF(A174="",IF(COUNTA(B174:H174)&gt;0,"MISSING ID",""),IF(COUNTIFS($A$6:$A$305,A174,$B$6:$B$305,B174)&lt;&gt;1,"DUPLICATE CASE/STAGE",IF(AND(B174&lt;&gt;"INITIAL",B174&lt;&gt;"RECON",B174&lt;&gt;"HEARING"),"UNKNOWN STAGE",IF(OR(NOT(ISNUMBER(C174)),C174&gt;Assumptions!$B$5,NOT(ISNUMBER(F174)),F174&lt;C174,F174&gt;Assumptions!$B$5),"INVALID DATES",IF(AND(D174&lt;&gt;"FAVORABLE",D174&lt;&gt;"OTHER"),"UNKNOWN OUTCOME",IF(OR(NOT(ISNUMBER(E174)),E174&lt;0,G174&lt;&gt;"YES"),"INCOMPLETE FEES","OK"))))))</f>
        <v/>
      </c>
      <c r="J174" s="1"/>
      <c r="K174" s="1"/>
      <c r="L174" s="1"/>
      <c r="M174" s="1"/>
      <c r="N174" s="1"/>
      <c r="O174" s="1"/>
    </row>
    <row r="175" spans="1:15" ht="32" customHeight="1">
      <c r="A175" s="4"/>
      <c r="B175" s="4"/>
      <c r="C175" s="6"/>
      <c r="D175" s="4"/>
      <c r="E175" s="12"/>
      <c r="F175" s="6"/>
      <c r="G175" s="4"/>
      <c r="H175" s="14"/>
      <c r="I175" s="11" t="str">
        <f>IF(A175="",IF(COUNTA(B175:H175)&gt;0,"MISSING ID",""),IF(COUNTIFS($A$6:$A$305,A175,$B$6:$B$305,B175)&lt;&gt;1,"DUPLICATE CASE/STAGE",IF(AND(B175&lt;&gt;"INITIAL",B175&lt;&gt;"RECON",B175&lt;&gt;"HEARING"),"UNKNOWN STAGE",IF(OR(NOT(ISNUMBER(C175)),C175&gt;Assumptions!$B$5,NOT(ISNUMBER(F175)),F175&lt;C175,F175&gt;Assumptions!$B$5),"INVALID DATES",IF(AND(D175&lt;&gt;"FAVORABLE",D175&lt;&gt;"OTHER"),"UNKNOWN OUTCOME",IF(OR(NOT(ISNUMBER(E175)),E175&lt;0,G175&lt;&gt;"YES"),"INCOMPLETE FEES","OK"))))))</f>
        <v/>
      </c>
      <c r="J175" s="1"/>
      <c r="K175" s="1"/>
      <c r="L175" s="1"/>
      <c r="M175" s="1"/>
      <c r="N175" s="1"/>
      <c r="O175" s="1"/>
    </row>
    <row r="176" spans="1:15" ht="32" customHeight="1">
      <c r="A176" s="4"/>
      <c r="B176" s="4"/>
      <c r="C176" s="6"/>
      <c r="D176" s="4"/>
      <c r="E176" s="12"/>
      <c r="F176" s="6"/>
      <c r="G176" s="4"/>
      <c r="H176" s="14"/>
      <c r="I176" s="11" t="str">
        <f>IF(A176="",IF(COUNTA(B176:H176)&gt;0,"MISSING ID",""),IF(COUNTIFS($A$6:$A$305,A176,$B$6:$B$305,B176)&lt;&gt;1,"DUPLICATE CASE/STAGE",IF(AND(B176&lt;&gt;"INITIAL",B176&lt;&gt;"RECON",B176&lt;&gt;"HEARING"),"UNKNOWN STAGE",IF(OR(NOT(ISNUMBER(C176)),C176&gt;Assumptions!$B$5,NOT(ISNUMBER(F176)),F176&lt;C176,F176&gt;Assumptions!$B$5),"INVALID DATES",IF(AND(D176&lt;&gt;"FAVORABLE",D176&lt;&gt;"OTHER"),"UNKNOWN OUTCOME",IF(OR(NOT(ISNUMBER(E176)),E176&lt;0,G176&lt;&gt;"YES"),"INCOMPLETE FEES","OK"))))))</f>
        <v/>
      </c>
      <c r="J176" s="1"/>
      <c r="K176" s="1"/>
      <c r="L176" s="1"/>
      <c r="M176" s="1"/>
      <c r="N176" s="1"/>
      <c r="O176" s="1"/>
    </row>
    <row r="177" spans="1:15" ht="32" customHeight="1">
      <c r="A177" s="4"/>
      <c r="B177" s="4"/>
      <c r="C177" s="6"/>
      <c r="D177" s="4"/>
      <c r="E177" s="12"/>
      <c r="F177" s="6"/>
      <c r="G177" s="4"/>
      <c r="H177" s="14"/>
      <c r="I177" s="11" t="str">
        <f>IF(A177="",IF(COUNTA(B177:H177)&gt;0,"MISSING ID",""),IF(COUNTIFS($A$6:$A$305,A177,$B$6:$B$305,B177)&lt;&gt;1,"DUPLICATE CASE/STAGE",IF(AND(B177&lt;&gt;"INITIAL",B177&lt;&gt;"RECON",B177&lt;&gt;"HEARING"),"UNKNOWN STAGE",IF(OR(NOT(ISNUMBER(C177)),C177&gt;Assumptions!$B$5,NOT(ISNUMBER(F177)),F177&lt;C177,F177&gt;Assumptions!$B$5),"INVALID DATES",IF(AND(D177&lt;&gt;"FAVORABLE",D177&lt;&gt;"OTHER"),"UNKNOWN OUTCOME",IF(OR(NOT(ISNUMBER(E177)),E177&lt;0,G177&lt;&gt;"YES"),"INCOMPLETE FEES","OK"))))))</f>
        <v/>
      </c>
      <c r="J177" s="1"/>
      <c r="K177" s="1"/>
      <c r="L177" s="1"/>
      <c r="M177" s="1"/>
      <c r="N177" s="1"/>
      <c r="O177" s="1"/>
    </row>
    <row r="178" spans="1:15" ht="32" customHeight="1">
      <c r="A178" s="4"/>
      <c r="B178" s="4"/>
      <c r="C178" s="6"/>
      <c r="D178" s="4"/>
      <c r="E178" s="12"/>
      <c r="F178" s="6"/>
      <c r="G178" s="4"/>
      <c r="H178" s="14"/>
      <c r="I178" s="11" t="str">
        <f>IF(A178="",IF(COUNTA(B178:H178)&gt;0,"MISSING ID",""),IF(COUNTIFS($A$6:$A$305,A178,$B$6:$B$305,B178)&lt;&gt;1,"DUPLICATE CASE/STAGE",IF(AND(B178&lt;&gt;"INITIAL",B178&lt;&gt;"RECON",B178&lt;&gt;"HEARING"),"UNKNOWN STAGE",IF(OR(NOT(ISNUMBER(C178)),C178&gt;Assumptions!$B$5,NOT(ISNUMBER(F178)),F178&lt;C178,F178&gt;Assumptions!$B$5),"INVALID DATES",IF(AND(D178&lt;&gt;"FAVORABLE",D178&lt;&gt;"OTHER"),"UNKNOWN OUTCOME",IF(OR(NOT(ISNUMBER(E178)),E178&lt;0,G178&lt;&gt;"YES"),"INCOMPLETE FEES","OK"))))))</f>
        <v/>
      </c>
      <c r="J178" s="1"/>
      <c r="K178" s="1"/>
      <c r="L178" s="1"/>
      <c r="M178" s="1"/>
      <c r="N178" s="1"/>
      <c r="O178" s="1"/>
    </row>
    <row r="179" spans="1:15" ht="32" customHeight="1">
      <c r="A179" s="4"/>
      <c r="B179" s="4"/>
      <c r="C179" s="6"/>
      <c r="D179" s="4"/>
      <c r="E179" s="12"/>
      <c r="F179" s="6"/>
      <c r="G179" s="4"/>
      <c r="H179" s="14"/>
      <c r="I179" s="11" t="str">
        <f>IF(A179="",IF(COUNTA(B179:H179)&gt;0,"MISSING ID",""),IF(COUNTIFS($A$6:$A$305,A179,$B$6:$B$305,B179)&lt;&gt;1,"DUPLICATE CASE/STAGE",IF(AND(B179&lt;&gt;"INITIAL",B179&lt;&gt;"RECON",B179&lt;&gt;"HEARING"),"UNKNOWN STAGE",IF(OR(NOT(ISNUMBER(C179)),C179&gt;Assumptions!$B$5,NOT(ISNUMBER(F179)),F179&lt;C179,F179&gt;Assumptions!$B$5),"INVALID DATES",IF(AND(D179&lt;&gt;"FAVORABLE",D179&lt;&gt;"OTHER"),"UNKNOWN OUTCOME",IF(OR(NOT(ISNUMBER(E179)),E179&lt;0,G179&lt;&gt;"YES"),"INCOMPLETE FEES","OK"))))))</f>
        <v/>
      </c>
      <c r="J179" s="1"/>
      <c r="K179" s="1"/>
      <c r="L179" s="1"/>
      <c r="M179" s="1"/>
      <c r="N179" s="1"/>
      <c r="O179" s="1"/>
    </row>
    <row r="180" spans="1:15" ht="32" customHeight="1">
      <c r="A180" s="4"/>
      <c r="B180" s="4"/>
      <c r="C180" s="6"/>
      <c r="D180" s="4"/>
      <c r="E180" s="12"/>
      <c r="F180" s="6"/>
      <c r="G180" s="4"/>
      <c r="H180" s="14"/>
      <c r="I180" s="11" t="str">
        <f>IF(A180="",IF(COUNTA(B180:H180)&gt;0,"MISSING ID",""),IF(COUNTIFS($A$6:$A$305,A180,$B$6:$B$305,B180)&lt;&gt;1,"DUPLICATE CASE/STAGE",IF(AND(B180&lt;&gt;"INITIAL",B180&lt;&gt;"RECON",B180&lt;&gt;"HEARING"),"UNKNOWN STAGE",IF(OR(NOT(ISNUMBER(C180)),C180&gt;Assumptions!$B$5,NOT(ISNUMBER(F180)),F180&lt;C180,F180&gt;Assumptions!$B$5),"INVALID DATES",IF(AND(D180&lt;&gt;"FAVORABLE",D180&lt;&gt;"OTHER"),"UNKNOWN OUTCOME",IF(OR(NOT(ISNUMBER(E180)),E180&lt;0,G180&lt;&gt;"YES"),"INCOMPLETE FEES","OK"))))))</f>
        <v/>
      </c>
      <c r="J180" s="1"/>
      <c r="K180" s="1"/>
      <c r="L180" s="1"/>
      <c r="M180" s="1"/>
      <c r="N180" s="1"/>
      <c r="O180" s="1"/>
    </row>
    <row r="181" spans="1:15" ht="32" customHeight="1">
      <c r="A181" s="4"/>
      <c r="B181" s="4"/>
      <c r="C181" s="6"/>
      <c r="D181" s="4"/>
      <c r="E181" s="12"/>
      <c r="F181" s="6"/>
      <c r="G181" s="4"/>
      <c r="H181" s="14"/>
      <c r="I181" s="11" t="str">
        <f>IF(A181="",IF(COUNTA(B181:H181)&gt;0,"MISSING ID",""),IF(COUNTIFS($A$6:$A$305,A181,$B$6:$B$305,B181)&lt;&gt;1,"DUPLICATE CASE/STAGE",IF(AND(B181&lt;&gt;"INITIAL",B181&lt;&gt;"RECON",B181&lt;&gt;"HEARING"),"UNKNOWN STAGE",IF(OR(NOT(ISNUMBER(C181)),C181&gt;Assumptions!$B$5,NOT(ISNUMBER(F181)),F181&lt;C181,F181&gt;Assumptions!$B$5),"INVALID DATES",IF(AND(D181&lt;&gt;"FAVORABLE",D181&lt;&gt;"OTHER"),"UNKNOWN OUTCOME",IF(OR(NOT(ISNUMBER(E181)),E181&lt;0,G181&lt;&gt;"YES"),"INCOMPLETE FEES","OK"))))))</f>
        <v/>
      </c>
      <c r="J181" s="1"/>
      <c r="K181" s="1"/>
      <c r="L181" s="1"/>
      <c r="M181" s="1"/>
      <c r="N181" s="1"/>
      <c r="O181" s="1"/>
    </row>
    <row r="182" spans="1:15" ht="32" customHeight="1">
      <c r="A182" s="4"/>
      <c r="B182" s="4"/>
      <c r="C182" s="6"/>
      <c r="D182" s="4"/>
      <c r="E182" s="12"/>
      <c r="F182" s="6"/>
      <c r="G182" s="4"/>
      <c r="H182" s="14"/>
      <c r="I182" s="11" t="str">
        <f>IF(A182="",IF(COUNTA(B182:H182)&gt;0,"MISSING ID",""),IF(COUNTIFS($A$6:$A$305,A182,$B$6:$B$305,B182)&lt;&gt;1,"DUPLICATE CASE/STAGE",IF(AND(B182&lt;&gt;"INITIAL",B182&lt;&gt;"RECON",B182&lt;&gt;"HEARING"),"UNKNOWN STAGE",IF(OR(NOT(ISNUMBER(C182)),C182&gt;Assumptions!$B$5,NOT(ISNUMBER(F182)),F182&lt;C182,F182&gt;Assumptions!$B$5),"INVALID DATES",IF(AND(D182&lt;&gt;"FAVORABLE",D182&lt;&gt;"OTHER"),"UNKNOWN OUTCOME",IF(OR(NOT(ISNUMBER(E182)),E182&lt;0,G182&lt;&gt;"YES"),"INCOMPLETE FEES","OK"))))))</f>
        <v/>
      </c>
      <c r="J182" s="1"/>
      <c r="K182" s="1"/>
      <c r="L182" s="1"/>
      <c r="M182" s="1"/>
      <c r="N182" s="1"/>
      <c r="O182" s="1"/>
    </row>
    <row r="183" spans="1:15" ht="32" customHeight="1">
      <c r="A183" s="4"/>
      <c r="B183" s="4"/>
      <c r="C183" s="6"/>
      <c r="D183" s="4"/>
      <c r="E183" s="12"/>
      <c r="F183" s="6"/>
      <c r="G183" s="4"/>
      <c r="H183" s="14"/>
      <c r="I183" s="11" t="str">
        <f>IF(A183="",IF(COUNTA(B183:H183)&gt;0,"MISSING ID",""),IF(COUNTIFS($A$6:$A$305,A183,$B$6:$B$305,B183)&lt;&gt;1,"DUPLICATE CASE/STAGE",IF(AND(B183&lt;&gt;"INITIAL",B183&lt;&gt;"RECON",B183&lt;&gt;"HEARING"),"UNKNOWN STAGE",IF(OR(NOT(ISNUMBER(C183)),C183&gt;Assumptions!$B$5,NOT(ISNUMBER(F183)),F183&lt;C183,F183&gt;Assumptions!$B$5),"INVALID DATES",IF(AND(D183&lt;&gt;"FAVORABLE",D183&lt;&gt;"OTHER"),"UNKNOWN OUTCOME",IF(OR(NOT(ISNUMBER(E183)),E183&lt;0,G183&lt;&gt;"YES"),"INCOMPLETE FEES","OK"))))))</f>
        <v/>
      </c>
      <c r="J183" s="1"/>
      <c r="K183" s="1"/>
      <c r="L183" s="1"/>
      <c r="M183" s="1"/>
      <c r="N183" s="1"/>
      <c r="O183" s="1"/>
    </row>
    <row r="184" spans="1:15" ht="32" customHeight="1">
      <c r="A184" s="4"/>
      <c r="B184" s="4"/>
      <c r="C184" s="6"/>
      <c r="D184" s="4"/>
      <c r="E184" s="12"/>
      <c r="F184" s="6"/>
      <c r="G184" s="4"/>
      <c r="H184" s="14"/>
      <c r="I184" s="11" t="str">
        <f>IF(A184="",IF(COUNTA(B184:H184)&gt;0,"MISSING ID",""),IF(COUNTIFS($A$6:$A$305,A184,$B$6:$B$305,B184)&lt;&gt;1,"DUPLICATE CASE/STAGE",IF(AND(B184&lt;&gt;"INITIAL",B184&lt;&gt;"RECON",B184&lt;&gt;"HEARING"),"UNKNOWN STAGE",IF(OR(NOT(ISNUMBER(C184)),C184&gt;Assumptions!$B$5,NOT(ISNUMBER(F184)),F184&lt;C184,F184&gt;Assumptions!$B$5),"INVALID DATES",IF(AND(D184&lt;&gt;"FAVORABLE",D184&lt;&gt;"OTHER"),"UNKNOWN OUTCOME",IF(OR(NOT(ISNUMBER(E184)),E184&lt;0,G184&lt;&gt;"YES"),"INCOMPLETE FEES","OK"))))))</f>
        <v/>
      </c>
      <c r="J184" s="1"/>
      <c r="K184" s="1"/>
      <c r="L184" s="1"/>
      <c r="M184" s="1"/>
      <c r="N184" s="1"/>
      <c r="O184" s="1"/>
    </row>
    <row r="185" spans="1:15" ht="32" customHeight="1">
      <c r="A185" s="4"/>
      <c r="B185" s="4"/>
      <c r="C185" s="6"/>
      <c r="D185" s="4"/>
      <c r="E185" s="12"/>
      <c r="F185" s="6"/>
      <c r="G185" s="4"/>
      <c r="H185" s="14"/>
      <c r="I185" s="11" t="str">
        <f>IF(A185="",IF(COUNTA(B185:H185)&gt;0,"MISSING ID",""),IF(COUNTIFS($A$6:$A$305,A185,$B$6:$B$305,B185)&lt;&gt;1,"DUPLICATE CASE/STAGE",IF(AND(B185&lt;&gt;"INITIAL",B185&lt;&gt;"RECON",B185&lt;&gt;"HEARING"),"UNKNOWN STAGE",IF(OR(NOT(ISNUMBER(C185)),C185&gt;Assumptions!$B$5,NOT(ISNUMBER(F185)),F185&lt;C185,F185&gt;Assumptions!$B$5),"INVALID DATES",IF(AND(D185&lt;&gt;"FAVORABLE",D185&lt;&gt;"OTHER"),"UNKNOWN OUTCOME",IF(OR(NOT(ISNUMBER(E185)),E185&lt;0,G185&lt;&gt;"YES"),"INCOMPLETE FEES","OK"))))))</f>
        <v/>
      </c>
      <c r="J185" s="1"/>
      <c r="K185" s="1"/>
      <c r="L185" s="1"/>
      <c r="M185" s="1"/>
      <c r="N185" s="1"/>
      <c r="O185" s="1"/>
    </row>
    <row r="186" spans="1:15" ht="32" customHeight="1">
      <c r="A186" s="4"/>
      <c r="B186" s="4"/>
      <c r="C186" s="6"/>
      <c r="D186" s="4"/>
      <c r="E186" s="12"/>
      <c r="F186" s="6"/>
      <c r="G186" s="4"/>
      <c r="H186" s="14"/>
      <c r="I186" s="11" t="str">
        <f>IF(A186="",IF(COUNTA(B186:H186)&gt;0,"MISSING ID",""),IF(COUNTIFS($A$6:$A$305,A186,$B$6:$B$305,B186)&lt;&gt;1,"DUPLICATE CASE/STAGE",IF(AND(B186&lt;&gt;"INITIAL",B186&lt;&gt;"RECON",B186&lt;&gt;"HEARING"),"UNKNOWN STAGE",IF(OR(NOT(ISNUMBER(C186)),C186&gt;Assumptions!$B$5,NOT(ISNUMBER(F186)),F186&lt;C186,F186&gt;Assumptions!$B$5),"INVALID DATES",IF(AND(D186&lt;&gt;"FAVORABLE",D186&lt;&gt;"OTHER"),"UNKNOWN OUTCOME",IF(OR(NOT(ISNUMBER(E186)),E186&lt;0,G186&lt;&gt;"YES"),"INCOMPLETE FEES","OK"))))))</f>
        <v/>
      </c>
      <c r="J186" s="1"/>
      <c r="K186" s="1"/>
      <c r="L186" s="1"/>
      <c r="M186" s="1"/>
      <c r="N186" s="1"/>
      <c r="O186" s="1"/>
    </row>
    <row r="187" spans="1:15" ht="32" customHeight="1">
      <c r="A187" s="4"/>
      <c r="B187" s="4"/>
      <c r="C187" s="6"/>
      <c r="D187" s="4"/>
      <c r="E187" s="12"/>
      <c r="F187" s="6"/>
      <c r="G187" s="4"/>
      <c r="H187" s="14"/>
      <c r="I187" s="11" t="str">
        <f>IF(A187="",IF(COUNTA(B187:H187)&gt;0,"MISSING ID",""),IF(COUNTIFS($A$6:$A$305,A187,$B$6:$B$305,B187)&lt;&gt;1,"DUPLICATE CASE/STAGE",IF(AND(B187&lt;&gt;"INITIAL",B187&lt;&gt;"RECON",B187&lt;&gt;"HEARING"),"UNKNOWN STAGE",IF(OR(NOT(ISNUMBER(C187)),C187&gt;Assumptions!$B$5,NOT(ISNUMBER(F187)),F187&lt;C187,F187&gt;Assumptions!$B$5),"INVALID DATES",IF(AND(D187&lt;&gt;"FAVORABLE",D187&lt;&gt;"OTHER"),"UNKNOWN OUTCOME",IF(OR(NOT(ISNUMBER(E187)),E187&lt;0,G187&lt;&gt;"YES"),"INCOMPLETE FEES","OK"))))))</f>
        <v/>
      </c>
      <c r="J187" s="1"/>
      <c r="K187" s="1"/>
      <c r="L187" s="1"/>
      <c r="M187" s="1"/>
      <c r="N187" s="1"/>
      <c r="O187" s="1"/>
    </row>
    <row r="188" spans="1:15" ht="32" customHeight="1">
      <c r="A188" s="4"/>
      <c r="B188" s="4"/>
      <c r="C188" s="6"/>
      <c r="D188" s="4"/>
      <c r="E188" s="12"/>
      <c r="F188" s="6"/>
      <c r="G188" s="4"/>
      <c r="H188" s="14"/>
      <c r="I188" s="11" t="str">
        <f>IF(A188="",IF(COUNTA(B188:H188)&gt;0,"MISSING ID",""),IF(COUNTIFS($A$6:$A$305,A188,$B$6:$B$305,B188)&lt;&gt;1,"DUPLICATE CASE/STAGE",IF(AND(B188&lt;&gt;"INITIAL",B188&lt;&gt;"RECON",B188&lt;&gt;"HEARING"),"UNKNOWN STAGE",IF(OR(NOT(ISNUMBER(C188)),C188&gt;Assumptions!$B$5,NOT(ISNUMBER(F188)),F188&lt;C188,F188&gt;Assumptions!$B$5),"INVALID DATES",IF(AND(D188&lt;&gt;"FAVORABLE",D188&lt;&gt;"OTHER"),"UNKNOWN OUTCOME",IF(OR(NOT(ISNUMBER(E188)),E188&lt;0,G188&lt;&gt;"YES"),"INCOMPLETE FEES","OK"))))))</f>
        <v/>
      </c>
      <c r="J188" s="1"/>
      <c r="K188" s="1"/>
      <c r="L188" s="1"/>
      <c r="M188" s="1"/>
      <c r="N188" s="1"/>
      <c r="O188" s="1"/>
    </row>
    <row r="189" spans="1:15" ht="32" customHeight="1">
      <c r="A189" s="4"/>
      <c r="B189" s="4"/>
      <c r="C189" s="6"/>
      <c r="D189" s="4"/>
      <c r="E189" s="12"/>
      <c r="F189" s="6"/>
      <c r="G189" s="4"/>
      <c r="H189" s="14"/>
      <c r="I189" s="11" t="str">
        <f>IF(A189="",IF(COUNTA(B189:H189)&gt;0,"MISSING ID",""),IF(COUNTIFS($A$6:$A$305,A189,$B$6:$B$305,B189)&lt;&gt;1,"DUPLICATE CASE/STAGE",IF(AND(B189&lt;&gt;"INITIAL",B189&lt;&gt;"RECON",B189&lt;&gt;"HEARING"),"UNKNOWN STAGE",IF(OR(NOT(ISNUMBER(C189)),C189&gt;Assumptions!$B$5,NOT(ISNUMBER(F189)),F189&lt;C189,F189&gt;Assumptions!$B$5),"INVALID DATES",IF(AND(D189&lt;&gt;"FAVORABLE",D189&lt;&gt;"OTHER"),"UNKNOWN OUTCOME",IF(OR(NOT(ISNUMBER(E189)),E189&lt;0,G189&lt;&gt;"YES"),"INCOMPLETE FEES","OK"))))))</f>
        <v/>
      </c>
      <c r="J189" s="1"/>
      <c r="K189" s="1"/>
      <c r="L189" s="1"/>
      <c r="M189" s="1"/>
      <c r="N189" s="1"/>
      <c r="O189" s="1"/>
    </row>
    <row r="190" spans="1:15" ht="32" customHeight="1">
      <c r="A190" s="4"/>
      <c r="B190" s="4"/>
      <c r="C190" s="6"/>
      <c r="D190" s="4"/>
      <c r="E190" s="12"/>
      <c r="F190" s="6"/>
      <c r="G190" s="4"/>
      <c r="H190" s="14"/>
      <c r="I190" s="11" t="str">
        <f>IF(A190="",IF(COUNTA(B190:H190)&gt;0,"MISSING ID",""),IF(COUNTIFS($A$6:$A$305,A190,$B$6:$B$305,B190)&lt;&gt;1,"DUPLICATE CASE/STAGE",IF(AND(B190&lt;&gt;"INITIAL",B190&lt;&gt;"RECON",B190&lt;&gt;"HEARING"),"UNKNOWN STAGE",IF(OR(NOT(ISNUMBER(C190)),C190&gt;Assumptions!$B$5,NOT(ISNUMBER(F190)),F190&lt;C190,F190&gt;Assumptions!$B$5),"INVALID DATES",IF(AND(D190&lt;&gt;"FAVORABLE",D190&lt;&gt;"OTHER"),"UNKNOWN OUTCOME",IF(OR(NOT(ISNUMBER(E190)),E190&lt;0,G190&lt;&gt;"YES"),"INCOMPLETE FEES","OK"))))))</f>
        <v/>
      </c>
      <c r="J190" s="1"/>
      <c r="K190" s="1"/>
      <c r="L190" s="1"/>
      <c r="M190" s="1"/>
      <c r="N190" s="1"/>
      <c r="O190" s="1"/>
    </row>
    <row r="191" spans="1:15" ht="32" customHeight="1">
      <c r="A191" s="4"/>
      <c r="B191" s="4"/>
      <c r="C191" s="6"/>
      <c r="D191" s="4"/>
      <c r="E191" s="12"/>
      <c r="F191" s="6"/>
      <c r="G191" s="4"/>
      <c r="H191" s="14"/>
      <c r="I191" s="11" t="str">
        <f>IF(A191="",IF(COUNTA(B191:H191)&gt;0,"MISSING ID",""),IF(COUNTIFS($A$6:$A$305,A191,$B$6:$B$305,B191)&lt;&gt;1,"DUPLICATE CASE/STAGE",IF(AND(B191&lt;&gt;"INITIAL",B191&lt;&gt;"RECON",B191&lt;&gt;"HEARING"),"UNKNOWN STAGE",IF(OR(NOT(ISNUMBER(C191)),C191&gt;Assumptions!$B$5,NOT(ISNUMBER(F191)),F191&lt;C191,F191&gt;Assumptions!$B$5),"INVALID DATES",IF(AND(D191&lt;&gt;"FAVORABLE",D191&lt;&gt;"OTHER"),"UNKNOWN OUTCOME",IF(OR(NOT(ISNUMBER(E191)),E191&lt;0,G191&lt;&gt;"YES"),"INCOMPLETE FEES","OK"))))))</f>
        <v/>
      </c>
      <c r="J191" s="1"/>
      <c r="K191" s="1"/>
      <c r="L191" s="1"/>
      <c r="M191" s="1"/>
      <c r="N191" s="1"/>
      <c r="O191" s="1"/>
    </row>
    <row r="192" spans="1:15" ht="32" customHeight="1">
      <c r="A192" s="4"/>
      <c r="B192" s="4"/>
      <c r="C192" s="6"/>
      <c r="D192" s="4"/>
      <c r="E192" s="12"/>
      <c r="F192" s="6"/>
      <c r="G192" s="4"/>
      <c r="H192" s="14"/>
      <c r="I192" s="11" t="str">
        <f>IF(A192="",IF(COUNTA(B192:H192)&gt;0,"MISSING ID",""),IF(COUNTIFS($A$6:$A$305,A192,$B$6:$B$305,B192)&lt;&gt;1,"DUPLICATE CASE/STAGE",IF(AND(B192&lt;&gt;"INITIAL",B192&lt;&gt;"RECON",B192&lt;&gt;"HEARING"),"UNKNOWN STAGE",IF(OR(NOT(ISNUMBER(C192)),C192&gt;Assumptions!$B$5,NOT(ISNUMBER(F192)),F192&lt;C192,F192&gt;Assumptions!$B$5),"INVALID DATES",IF(AND(D192&lt;&gt;"FAVORABLE",D192&lt;&gt;"OTHER"),"UNKNOWN OUTCOME",IF(OR(NOT(ISNUMBER(E192)),E192&lt;0,G192&lt;&gt;"YES"),"INCOMPLETE FEES","OK"))))))</f>
        <v/>
      </c>
      <c r="J192" s="1"/>
      <c r="K192" s="1"/>
      <c r="L192" s="1"/>
      <c r="M192" s="1"/>
      <c r="N192" s="1"/>
      <c r="O192" s="1"/>
    </row>
    <row r="193" spans="1:15" ht="32" customHeight="1">
      <c r="A193" s="4"/>
      <c r="B193" s="4"/>
      <c r="C193" s="6"/>
      <c r="D193" s="4"/>
      <c r="E193" s="12"/>
      <c r="F193" s="6"/>
      <c r="G193" s="4"/>
      <c r="H193" s="14"/>
      <c r="I193" s="11" t="str">
        <f>IF(A193="",IF(COUNTA(B193:H193)&gt;0,"MISSING ID",""),IF(COUNTIFS($A$6:$A$305,A193,$B$6:$B$305,B193)&lt;&gt;1,"DUPLICATE CASE/STAGE",IF(AND(B193&lt;&gt;"INITIAL",B193&lt;&gt;"RECON",B193&lt;&gt;"HEARING"),"UNKNOWN STAGE",IF(OR(NOT(ISNUMBER(C193)),C193&gt;Assumptions!$B$5,NOT(ISNUMBER(F193)),F193&lt;C193,F193&gt;Assumptions!$B$5),"INVALID DATES",IF(AND(D193&lt;&gt;"FAVORABLE",D193&lt;&gt;"OTHER"),"UNKNOWN OUTCOME",IF(OR(NOT(ISNUMBER(E193)),E193&lt;0,G193&lt;&gt;"YES"),"INCOMPLETE FEES","OK"))))))</f>
        <v/>
      </c>
      <c r="J193" s="1"/>
      <c r="K193" s="1"/>
      <c r="L193" s="1"/>
      <c r="M193" s="1"/>
      <c r="N193" s="1"/>
      <c r="O193" s="1"/>
    </row>
    <row r="194" spans="1:15" ht="32" customHeight="1">
      <c r="A194" s="4"/>
      <c r="B194" s="4"/>
      <c r="C194" s="6"/>
      <c r="D194" s="4"/>
      <c r="E194" s="12"/>
      <c r="F194" s="6"/>
      <c r="G194" s="4"/>
      <c r="H194" s="14"/>
      <c r="I194" s="11" t="str">
        <f>IF(A194="",IF(COUNTA(B194:H194)&gt;0,"MISSING ID",""),IF(COUNTIFS($A$6:$A$305,A194,$B$6:$B$305,B194)&lt;&gt;1,"DUPLICATE CASE/STAGE",IF(AND(B194&lt;&gt;"INITIAL",B194&lt;&gt;"RECON",B194&lt;&gt;"HEARING"),"UNKNOWN STAGE",IF(OR(NOT(ISNUMBER(C194)),C194&gt;Assumptions!$B$5,NOT(ISNUMBER(F194)),F194&lt;C194,F194&gt;Assumptions!$B$5),"INVALID DATES",IF(AND(D194&lt;&gt;"FAVORABLE",D194&lt;&gt;"OTHER"),"UNKNOWN OUTCOME",IF(OR(NOT(ISNUMBER(E194)),E194&lt;0,G194&lt;&gt;"YES"),"INCOMPLETE FEES","OK"))))))</f>
        <v/>
      </c>
      <c r="J194" s="1"/>
      <c r="K194" s="1"/>
      <c r="L194" s="1"/>
      <c r="M194" s="1"/>
      <c r="N194" s="1"/>
      <c r="O194" s="1"/>
    </row>
    <row r="195" spans="1:15" ht="32" customHeight="1">
      <c r="A195" s="4"/>
      <c r="B195" s="4"/>
      <c r="C195" s="6"/>
      <c r="D195" s="4"/>
      <c r="E195" s="12"/>
      <c r="F195" s="6"/>
      <c r="G195" s="4"/>
      <c r="H195" s="14"/>
      <c r="I195" s="11" t="str">
        <f>IF(A195="",IF(COUNTA(B195:H195)&gt;0,"MISSING ID",""),IF(COUNTIFS($A$6:$A$305,A195,$B$6:$B$305,B195)&lt;&gt;1,"DUPLICATE CASE/STAGE",IF(AND(B195&lt;&gt;"INITIAL",B195&lt;&gt;"RECON",B195&lt;&gt;"HEARING"),"UNKNOWN STAGE",IF(OR(NOT(ISNUMBER(C195)),C195&gt;Assumptions!$B$5,NOT(ISNUMBER(F195)),F195&lt;C195,F195&gt;Assumptions!$B$5),"INVALID DATES",IF(AND(D195&lt;&gt;"FAVORABLE",D195&lt;&gt;"OTHER"),"UNKNOWN OUTCOME",IF(OR(NOT(ISNUMBER(E195)),E195&lt;0,G195&lt;&gt;"YES"),"INCOMPLETE FEES","OK"))))))</f>
        <v/>
      </c>
      <c r="J195" s="1"/>
      <c r="K195" s="1"/>
      <c r="L195" s="1"/>
      <c r="M195" s="1"/>
      <c r="N195" s="1"/>
      <c r="O195" s="1"/>
    </row>
    <row r="196" spans="1:15" ht="32" customHeight="1">
      <c r="A196" s="4"/>
      <c r="B196" s="4"/>
      <c r="C196" s="6"/>
      <c r="D196" s="4"/>
      <c r="E196" s="12"/>
      <c r="F196" s="6"/>
      <c r="G196" s="4"/>
      <c r="H196" s="14"/>
      <c r="I196" s="11" t="str">
        <f>IF(A196="",IF(COUNTA(B196:H196)&gt;0,"MISSING ID",""),IF(COUNTIFS($A$6:$A$305,A196,$B$6:$B$305,B196)&lt;&gt;1,"DUPLICATE CASE/STAGE",IF(AND(B196&lt;&gt;"INITIAL",B196&lt;&gt;"RECON",B196&lt;&gt;"HEARING"),"UNKNOWN STAGE",IF(OR(NOT(ISNUMBER(C196)),C196&gt;Assumptions!$B$5,NOT(ISNUMBER(F196)),F196&lt;C196,F196&gt;Assumptions!$B$5),"INVALID DATES",IF(AND(D196&lt;&gt;"FAVORABLE",D196&lt;&gt;"OTHER"),"UNKNOWN OUTCOME",IF(OR(NOT(ISNUMBER(E196)),E196&lt;0,G196&lt;&gt;"YES"),"INCOMPLETE FEES","OK"))))))</f>
        <v/>
      </c>
      <c r="J196" s="1"/>
      <c r="K196" s="1"/>
      <c r="L196" s="1"/>
      <c r="M196" s="1"/>
      <c r="N196" s="1"/>
      <c r="O196" s="1"/>
    </row>
    <row r="197" spans="1:15" ht="32" customHeight="1">
      <c r="A197" s="4"/>
      <c r="B197" s="4"/>
      <c r="C197" s="6"/>
      <c r="D197" s="4"/>
      <c r="E197" s="12"/>
      <c r="F197" s="6"/>
      <c r="G197" s="4"/>
      <c r="H197" s="14"/>
      <c r="I197" s="11" t="str">
        <f>IF(A197="",IF(COUNTA(B197:H197)&gt;0,"MISSING ID",""),IF(COUNTIFS($A$6:$A$305,A197,$B$6:$B$305,B197)&lt;&gt;1,"DUPLICATE CASE/STAGE",IF(AND(B197&lt;&gt;"INITIAL",B197&lt;&gt;"RECON",B197&lt;&gt;"HEARING"),"UNKNOWN STAGE",IF(OR(NOT(ISNUMBER(C197)),C197&gt;Assumptions!$B$5,NOT(ISNUMBER(F197)),F197&lt;C197,F197&gt;Assumptions!$B$5),"INVALID DATES",IF(AND(D197&lt;&gt;"FAVORABLE",D197&lt;&gt;"OTHER"),"UNKNOWN OUTCOME",IF(OR(NOT(ISNUMBER(E197)),E197&lt;0,G197&lt;&gt;"YES"),"INCOMPLETE FEES","OK"))))))</f>
        <v/>
      </c>
      <c r="J197" s="1"/>
      <c r="K197" s="1"/>
      <c r="L197" s="1"/>
      <c r="M197" s="1"/>
      <c r="N197" s="1"/>
      <c r="O197" s="1"/>
    </row>
    <row r="198" spans="1:15" ht="32" customHeight="1">
      <c r="A198" s="4"/>
      <c r="B198" s="4"/>
      <c r="C198" s="6"/>
      <c r="D198" s="4"/>
      <c r="E198" s="12"/>
      <c r="F198" s="6"/>
      <c r="G198" s="4"/>
      <c r="H198" s="14"/>
      <c r="I198" s="11" t="str">
        <f>IF(A198="",IF(COUNTA(B198:H198)&gt;0,"MISSING ID",""),IF(COUNTIFS($A$6:$A$305,A198,$B$6:$B$305,B198)&lt;&gt;1,"DUPLICATE CASE/STAGE",IF(AND(B198&lt;&gt;"INITIAL",B198&lt;&gt;"RECON",B198&lt;&gt;"HEARING"),"UNKNOWN STAGE",IF(OR(NOT(ISNUMBER(C198)),C198&gt;Assumptions!$B$5,NOT(ISNUMBER(F198)),F198&lt;C198,F198&gt;Assumptions!$B$5),"INVALID DATES",IF(AND(D198&lt;&gt;"FAVORABLE",D198&lt;&gt;"OTHER"),"UNKNOWN OUTCOME",IF(OR(NOT(ISNUMBER(E198)),E198&lt;0,G198&lt;&gt;"YES"),"INCOMPLETE FEES","OK"))))))</f>
        <v/>
      </c>
      <c r="J198" s="1"/>
      <c r="K198" s="1"/>
      <c r="L198" s="1"/>
      <c r="M198" s="1"/>
      <c r="N198" s="1"/>
      <c r="O198" s="1"/>
    </row>
    <row r="199" spans="1:15" ht="32" customHeight="1">
      <c r="A199" s="4"/>
      <c r="B199" s="4"/>
      <c r="C199" s="6"/>
      <c r="D199" s="4"/>
      <c r="E199" s="12"/>
      <c r="F199" s="6"/>
      <c r="G199" s="4"/>
      <c r="H199" s="14"/>
      <c r="I199" s="11" t="str">
        <f>IF(A199="",IF(COUNTA(B199:H199)&gt;0,"MISSING ID",""),IF(COUNTIFS($A$6:$A$305,A199,$B$6:$B$305,B199)&lt;&gt;1,"DUPLICATE CASE/STAGE",IF(AND(B199&lt;&gt;"INITIAL",B199&lt;&gt;"RECON",B199&lt;&gt;"HEARING"),"UNKNOWN STAGE",IF(OR(NOT(ISNUMBER(C199)),C199&gt;Assumptions!$B$5,NOT(ISNUMBER(F199)),F199&lt;C199,F199&gt;Assumptions!$B$5),"INVALID DATES",IF(AND(D199&lt;&gt;"FAVORABLE",D199&lt;&gt;"OTHER"),"UNKNOWN OUTCOME",IF(OR(NOT(ISNUMBER(E199)),E199&lt;0,G199&lt;&gt;"YES"),"INCOMPLETE FEES","OK"))))))</f>
        <v/>
      </c>
      <c r="J199" s="1"/>
      <c r="K199" s="1"/>
      <c r="L199" s="1"/>
      <c r="M199" s="1"/>
      <c r="N199" s="1"/>
      <c r="O199" s="1"/>
    </row>
    <row r="200" spans="1:15" ht="32" customHeight="1">
      <c r="A200" s="4"/>
      <c r="B200" s="4"/>
      <c r="C200" s="6"/>
      <c r="D200" s="4"/>
      <c r="E200" s="12"/>
      <c r="F200" s="6"/>
      <c r="G200" s="4"/>
      <c r="H200" s="14"/>
      <c r="I200" s="11" t="str">
        <f>IF(A200="",IF(COUNTA(B200:H200)&gt;0,"MISSING ID",""),IF(COUNTIFS($A$6:$A$305,A200,$B$6:$B$305,B200)&lt;&gt;1,"DUPLICATE CASE/STAGE",IF(AND(B200&lt;&gt;"INITIAL",B200&lt;&gt;"RECON",B200&lt;&gt;"HEARING"),"UNKNOWN STAGE",IF(OR(NOT(ISNUMBER(C200)),C200&gt;Assumptions!$B$5,NOT(ISNUMBER(F200)),F200&lt;C200,F200&gt;Assumptions!$B$5),"INVALID DATES",IF(AND(D200&lt;&gt;"FAVORABLE",D200&lt;&gt;"OTHER"),"UNKNOWN OUTCOME",IF(OR(NOT(ISNUMBER(E200)),E200&lt;0,G200&lt;&gt;"YES"),"INCOMPLETE FEES","OK"))))))</f>
        <v/>
      </c>
      <c r="J200" s="1"/>
      <c r="K200" s="1"/>
      <c r="L200" s="1"/>
      <c r="M200" s="1"/>
      <c r="N200" s="1"/>
      <c r="O200" s="1"/>
    </row>
    <row r="201" spans="1:15" ht="32" customHeight="1">
      <c r="A201" s="4"/>
      <c r="B201" s="4"/>
      <c r="C201" s="6"/>
      <c r="D201" s="4"/>
      <c r="E201" s="12"/>
      <c r="F201" s="6"/>
      <c r="G201" s="4"/>
      <c r="H201" s="14"/>
      <c r="I201" s="11" t="str">
        <f>IF(A201="",IF(COUNTA(B201:H201)&gt;0,"MISSING ID",""),IF(COUNTIFS($A$6:$A$305,A201,$B$6:$B$305,B201)&lt;&gt;1,"DUPLICATE CASE/STAGE",IF(AND(B201&lt;&gt;"INITIAL",B201&lt;&gt;"RECON",B201&lt;&gt;"HEARING"),"UNKNOWN STAGE",IF(OR(NOT(ISNUMBER(C201)),C201&gt;Assumptions!$B$5,NOT(ISNUMBER(F201)),F201&lt;C201,F201&gt;Assumptions!$B$5),"INVALID DATES",IF(AND(D201&lt;&gt;"FAVORABLE",D201&lt;&gt;"OTHER"),"UNKNOWN OUTCOME",IF(OR(NOT(ISNUMBER(E201)),E201&lt;0,G201&lt;&gt;"YES"),"INCOMPLETE FEES","OK"))))))</f>
        <v/>
      </c>
      <c r="J201" s="1"/>
      <c r="K201" s="1"/>
      <c r="L201" s="1"/>
      <c r="M201" s="1"/>
      <c r="N201" s="1"/>
      <c r="O201" s="1"/>
    </row>
    <row r="202" spans="1:15" ht="32" customHeight="1">
      <c r="A202" s="4"/>
      <c r="B202" s="4"/>
      <c r="C202" s="6"/>
      <c r="D202" s="4"/>
      <c r="E202" s="12"/>
      <c r="F202" s="6"/>
      <c r="G202" s="4"/>
      <c r="H202" s="14"/>
      <c r="I202" s="11" t="str">
        <f>IF(A202="",IF(COUNTA(B202:H202)&gt;0,"MISSING ID",""),IF(COUNTIFS($A$6:$A$305,A202,$B$6:$B$305,B202)&lt;&gt;1,"DUPLICATE CASE/STAGE",IF(AND(B202&lt;&gt;"INITIAL",B202&lt;&gt;"RECON",B202&lt;&gt;"HEARING"),"UNKNOWN STAGE",IF(OR(NOT(ISNUMBER(C202)),C202&gt;Assumptions!$B$5,NOT(ISNUMBER(F202)),F202&lt;C202,F202&gt;Assumptions!$B$5),"INVALID DATES",IF(AND(D202&lt;&gt;"FAVORABLE",D202&lt;&gt;"OTHER"),"UNKNOWN OUTCOME",IF(OR(NOT(ISNUMBER(E202)),E202&lt;0,G202&lt;&gt;"YES"),"INCOMPLETE FEES","OK"))))))</f>
        <v/>
      </c>
      <c r="J202" s="1"/>
      <c r="K202" s="1"/>
      <c r="L202" s="1"/>
      <c r="M202" s="1"/>
      <c r="N202" s="1"/>
      <c r="O202" s="1"/>
    </row>
    <row r="203" spans="1:15" ht="32" customHeight="1">
      <c r="A203" s="4"/>
      <c r="B203" s="4"/>
      <c r="C203" s="6"/>
      <c r="D203" s="4"/>
      <c r="E203" s="12"/>
      <c r="F203" s="6"/>
      <c r="G203" s="4"/>
      <c r="H203" s="14"/>
      <c r="I203" s="11" t="str">
        <f>IF(A203="",IF(COUNTA(B203:H203)&gt;0,"MISSING ID",""),IF(COUNTIFS($A$6:$A$305,A203,$B$6:$B$305,B203)&lt;&gt;1,"DUPLICATE CASE/STAGE",IF(AND(B203&lt;&gt;"INITIAL",B203&lt;&gt;"RECON",B203&lt;&gt;"HEARING"),"UNKNOWN STAGE",IF(OR(NOT(ISNUMBER(C203)),C203&gt;Assumptions!$B$5,NOT(ISNUMBER(F203)),F203&lt;C203,F203&gt;Assumptions!$B$5),"INVALID DATES",IF(AND(D203&lt;&gt;"FAVORABLE",D203&lt;&gt;"OTHER"),"UNKNOWN OUTCOME",IF(OR(NOT(ISNUMBER(E203)),E203&lt;0,G203&lt;&gt;"YES"),"INCOMPLETE FEES","OK"))))))</f>
        <v/>
      </c>
      <c r="J203" s="1"/>
      <c r="K203" s="1"/>
      <c r="L203" s="1"/>
      <c r="M203" s="1"/>
      <c r="N203" s="1"/>
      <c r="O203" s="1"/>
    </row>
    <row r="204" spans="1:15" ht="32" customHeight="1">
      <c r="A204" s="4"/>
      <c r="B204" s="4"/>
      <c r="C204" s="6"/>
      <c r="D204" s="4"/>
      <c r="E204" s="12"/>
      <c r="F204" s="6"/>
      <c r="G204" s="4"/>
      <c r="H204" s="14"/>
      <c r="I204" s="11" t="str">
        <f>IF(A204="",IF(COUNTA(B204:H204)&gt;0,"MISSING ID",""),IF(COUNTIFS($A$6:$A$305,A204,$B$6:$B$305,B204)&lt;&gt;1,"DUPLICATE CASE/STAGE",IF(AND(B204&lt;&gt;"INITIAL",B204&lt;&gt;"RECON",B204&lt;&gt;"HEARING"),"UNKNOWN STAGE",IF(OR(NOT(ISNUMBER(C204)),C204&gt;Assumptions!$B$5,NOT(ISNUMBER(F204)),F204&lt;C204,F204&gt;Assumptions!$B$5),"INVALID DATES",IF(AND(D204&lt;&gt;"FAVORABLE",D204&lt;&gt;"OTHER"),"UNKNOWN OUTCOME",IF(OR(NOT(ISNUMBER(E204)),E204&lt;0,G204&lt;&gt;"YES"),"INCOMPLETE FEES","OK"))))))</f>
        <v/>
      </c>
      <c r="J204" s="1"/>
      <c r="K204" s="1"/>
      <c r="L204" s="1"/>
      <c r="M204" s="1"/>
      <c r="N204" s="1"/>
      <c r="O204" s="1"/>
    </row>
    <row r="205" spans="1:15" ht="32" customHeight="1">
      <c r="A205" s="4"/>
      <c r="B205" s="4"/>
      <c r="C205" s="6"/>
      <c r="D205" s="4"/>
      <c r="E205" s="12"/>
      <c r="F205" s="6"/>
      <c r="G205" s="4"/>
      <c r="H205" s="14"/>
      <c r="I205" s="11" t="str">
        <f>IF(A205="",IF(COUNTA(B205:H205)&gt;0,"MISSING ID",""),IF(COUNTIFS($A$6:$A$305,A205,$B$6:$B$305,B205)&lt;&gt;1,"DUPLICATE CASE/STAGE",IF(AND(B205&lt;&gt;"INITIAL",B205&lt;&gt;"RECON",B205&lt;&gt;"HEARING"),"UNKNOWN STAGE",IF(OR(NOT(ISNUMBER(C205)),C205&gt;Assumptions!$B$5,NOT(ISNUMBER(F205)),F205&lt;C205,F205&gt;Assumptions!$B$5),"INVALID DATES",IF(AND(D205&lt;&gt;"FAVORABLE",D205&lt;&gt;"OTHER"),"UNKNOWN OUTCOME",IF(OR(NOT(ISNUMBER(E205)),E205&lt;0,G205&lt;&gt;"YES"),"INCOMPLETE FEES","OK"))))))</f>
        <v/>
      </c>
      <c r="J205" s="1"/>
      <c r="K205" s="1"/>
      <c r="L205" s="1"/>
      <c r="M205" s="1"/>
      <c r="N205" s="1"/>
      <c r="O205" s="1"/>
    </row>
    <row r="206" spans="1:15" ht="32" customHeight="1">
      <c r="A206" s="4"/>
      <c r="B206" s="4"/>
      <c r="C206" s="6"/>
      <c r="D206" s="4"/>
      <c r="E206" s="12"/>
      <c r="F206" s="6"/>
      <c r="G206" s="4"/>
      <c r="H206" s="14"/>
      <c r="I206" s="11" t="str">
        <f>IF(A206="",IF(COUNTA(B206:H206)&gt;0,"MISSING ID",""),IF(COUNTIFS($A$6:$A$305,A206,$B$6:$B$305,B206)&lt;&gt;1,"DUPLICATE CASE/STAGE",IF(AND(B206&lt;&gt;"INITIAL",B206&lt;&gt;"RECON",B206&lt;&gt;"HEARING"),"UNKNOWN STAGE",IF(OR(NOT(ISNUMBER(C206)),C206&gt;Assumptions!$B$5,NOT(ISNUMBER(F206)),F206&lt;C206,F206&gt;Assumptions!$B$5),"INVALID DATES",IF(AND(D206&lt;&gt;"FAVORABLE",D206&lt;&gt;"OTHER"),"UNKNOWN OUTCOME",IF(OR(NOT(ISNUMBER(E206)),E206&lt;0,G206&lt;&gt;"YES"),"INCOMPLETE FEES","OK"))))))</f>
        <v/>
      </c>
      <c r="J206" s="1"/>
      <c r="K206" s="1"/>
      <c r="L206" s="1"/>
      <c r="M206" s="1"/>
      <c r="N206" s="1"/>
      <c r="O206" s="1"/>
    </row>
    <row r="207" spans="1:15" ht="32" customHeight="1">
      <c r="A207" s="4"/>
      <c r="B207" s="4"/>
      <c r="C207" s="6"/>
      <c r="D207" s="4"/>
      <c r="E207" s="12"/>
      <c r="F207" s="6"/>
      <c r="G207" s="4"/>
      <c r="H207" s="14"/>
      <c r="I207" s="11" t="str">
        <f>IF(A207="",IF(COUNTA(B207:H207)&gt;0,"MISSING ID",""),IF(COUNTIFS($A$6:$A$305,A207,$B$6:$B$305,B207)&lt;&gt;1,"DUPLICATE CASE/STAGE",IF(AND(B207&lt;&gt;"INITIAL",B207&lt;&gt;"RECON",B207&lt;&gt;"HEARING"),"UNKNOWN STAGE",IF(OR(NOT(ISNUMBER(C207)),C207&gt;Assumptions!$B$5,NOT(ISNUMBER(F207)),F207&lt;C207,F207&gt;Assumptions!$B$5),"INVALID DATES",IF(AND(D207&lt;&gt;"FAVORABLE",D207&lt;&gt;"OTHER"),"UNKNOWN OUTCOME",IF(OR(NOT(ISNUMBER(E207)),E207&lt;0,G207&lt;&gt;"YES"),"INCOMPLETE FEES","OK"))))))</f>
        <v/>
      </c>
      <c r="J207" s="1"/>
      <c r="K207" s="1"/>
      <c r="L207" s="1"/>
      <c r="M207" s="1"/>
      <c r="N207" s="1"/>
      <c r="O207" s="1"/>
    </row>
    <row r="208" spans="1:15" ht="32" customHeight="1">
      <c r="A208" s="4"/>
      <c r="B208" s="4"/>
      <c r="C208" s="6"/>
      <c r="D208" s="4"/>
      <c r="E208" s="12"/>
      <c r="F208" s="6"/>
      <c r="G208" s="4"/>
      <c r="H208" s="14"/>
      <c r="I208" s="11" t="str">
        <f>IF(A208="",IF(COUNTA(B208:H208)&gt;0,"MISSING ID",""),IF(COUNTIFS($A$6:$A$305,A208,$B$6:$B$305,B208)&lt;&gt;1,"DUPLICATE CASE/STAGE",IF(AND(B208&lt;&gt;"INITIAL",B208&lt;&gt;"RECON",B208&lt;&gt;"HEARING"),"UNKNOWN STAGE",IF(OR(NOT(ISNUMBER(C208)),C208&gt;Assumptions!$B$5,NOT(ISNUMBER(F208)),F208&lt;C208,F208&gt;Assumptions!$B$5),"INVALID DATES",IF(AND(D208&lt;&gt;"FAVORABLE",D208&lt;&gt;"OTHER"),"UNKNOWN OUTCOME",IF(OR(NOT(ISNUMBER(E208)),E208&lt;0,G208&lt;&gt;"YES"),"INCOMPLETE FEES","OK"))))))</f>
        <v/>
      </c>
      <c r="J208" s="1"/>
      <c r="K208" s="1"/>
      <c r="L208" s="1"/>
      <c r="M208" s="1"/>
      <c r="N208" s="1"/>
      <c r="O208" s="1"/>
    </row>
    <row r="209" spans="1:15" ht="32" customHeight="1">
      <c r="A209" s="4"/>
      <c r="B209" s="4"/>
      <c r="C209" s="6"/>
      <c r="D209" s="4"/>
      <c r="E209" s="12"/>
      <c r="F209" s="6"/>
      <c r="G209" s="4"/>
      <c r="H209" s="14"/>
      <c r="I209" s="11" t="str">
        <f>IF(A209="",IF(COUNTA(B209:H209)&gt;0,"MISSING ID",""),IF(COUNTIFS($A$6:$A$305,A209,$B$6:$B$305,B209)&lt;&gt;1,"DUPLICATE CASE/STAGE",IF(AND(B209&lt;&gt;"INITIAL",B209&lt;&gt;"RECON",B209&lt;&gt;"HEARING"),"UNKNOWN STAGE",IF(OR(NOT(ISNUMBER(C209)),C209&gt;Assumptions!$B$5,NOT(ISNUMBER(F209)),F209&lt;C209,F209&gt;Assumptions!$B$5),"INVALID DATES",IF(AND(D209&lt;&gt;"FAVORABLE",D209&lt;&gt;"OTHER"),"UNKNOWN OUTCOME",IF(OR(NOT(ISNUMBER(E209)),E209&lt;0,G209&lt;&gt;"YES"),"INCOMPLETE FEES","OK"))))))</f>
        <v/>
      </c>
      <c r="J209" s="1"/>
      <c r="K209" s="1"/>
      <c r="L209" s="1"/>
      <c r="M209" s="1"/>
      <c r="N209" s="1"/>
      <c r="O209" s="1"/>
    </row>
    <row r="210" spans="1:15" ht="32" customHeight="1">
      <c r="A210" s="4"/>
      <c r="B210" s="4"/>
      <c r="C210" s="6"/>
      <c r="D210" s="4"/>
      <c r="E210" s="12"/>
      <c r="F210" s="6"/>
      <c r="G210" s="4"/>
      <c r="H210" s="14"/>
      <c r="I210" s="11" t="str">
        <f>IF(A210="",IF(COUNTA(B210:H210)&gt;0,"MISSING ID",""),IF(COUNTIFS($A$6:$A$305,A210,$B$6:$B$305,B210)&lt;&gt;1,"DUPLICATE CASE/STAGE",IF(AND(B210&lt;&gt;"INITIAL",B210&lt;&gt;"RECON",B210&lt;&gt;"HEARING"),"UNKNOWN STAGE",IF(OR(NOT(ISNUMBER(C210)),C210&gt;Assumptions!$B$5,NOT(ISNUMBER(F210)),F210&lt;C210,F210&gt;Assumptions!$B$5),"INVALID DATES",IF(AND(D210&lt;&gt;"FAVORABLE",D210&lt;&gt;"OTHER"),"UNKNOWN OUTCOME",IF(OR(NOT(ISNUMBER(E210)),E210&lt;0,G210&lt;&gt;"YES"),"INCOMPLETE FEES","OK"))))))</f>
        <v/>
      </c>
      <c r="J210" s="1"/>
      <c r="K210" s="1"/>
      <c r="L210" s="1"/>
      <c r="M210" s="1"/>
      <c r="N210" s="1"/>
      <c r="O210" s="1"/>
    </row>
    <row r="211" spans="1:15" ht="32" customHeight="1">
      <c r="A211" s="4"/>
      <c r="B211" s="4"/>
      <c r="C211" s="6"/>
      <c r="D211" s="4"/>
      <c r="E211" s="12"/>
      <c r="F211" s="6"/>
      <c r="G211" s="4"/>
      <c r="H211" s="14"/>
      <c r="I211" s="11" t="str">
        <f>IF(A211="",IF(COUNTA(B211:H211)&gt;0,"MISSING ID",""),IF(COUNTIFS($A$6:$A$305,A211,$B$6:$B$305,B211)&lt;&gt;1,"DUPLICATE CASE/STAGE",IF(AND(B211&lt;&gt;"INITIAL",B211&lt;&gt;"RECON",B211&lt;&gt;"HEARING"),"UNKNOWN STAGE",IF(OR(NOT(ISNUMBER(C211)),C211&gt;Assumptions!$B$5,NOT(ISNUMBER(F211)),F211&lt;C211,F211&gt;Assumptions!$B$5),"INVALID DATES",IF(AND(D211&lt;&gt;"FAVORABLE",D211&lt;&gt;"OTHER"),"UNKNOWN OUTCOME",IF(OR(NOT(ISNUMBER(E211)),E211&lt;0,G211&lt;&gt;"YES"),"INCOMPLETE FEES","OK"))))))</f>
        <v/>
      </c>
      <c r="J211" s="1"/>
      <c r="K211" s="1"/>
      <c r="L211" s="1"/>
      <c r="M211" s="1"/>
      <c r="N211" s="1"/>
      <c r="O211" s="1"/>
    </row>
    <row r="212" spans="1:15" ht="32" customHeight="1">
      <c r="A212" s="4"/>
      <c r="B212" s="4"/>
      <c r="C212" s="6"/>
      <c r="D212" s="4"/>
      <c r="E212" s="12"/>
      <c r="F212" s="6"/>
      <c r="G212" s="4"/>
      <c r="H212" s="14"/>
      <c r="I212" s="11" t="str">
        <f>IF(A212="",IF(COUNTA(B212:H212)&gt;0,"MISSING ID",""),IF(COUNTIFS($A$6:$A$305,A212,$B$6:$B$305,B212)&lt;&gt;1,"DUPLICATE CASE/STAGE",IF(AND(B212&lt;&gt;"INITIAL",B212&lt;&gt;"RECON",B212&lt;&gt;"HEARING"),"UNKNOWN STAGE",IF(OR(NOT(ISNUMBER(C212)),C212&gt;Assumptions!$B$5,NOT(ISNUMBER(F212)),F212&lt;C212,F212&gt;Assumptions!$B$5),"INVALID DATES",IF(AND(D212&lt;&gt;"FAVORABLE",D212&lt;&gt;"OTHER"),"UNKNOWN OUTCOME",IF(OR(NOT(ISNUMBER(E212)),E212&lt;0,G212&lt;&gt;"YES"),"INCOMPLETE FEES","OK"))))))</f>
        <v/>
      </c>
      <c r="J212" s="1"/>
      <c r="K212" s="1"/>
      <c r="L212" s="1"/>
      <c r="M212" s="1"/>
      <c r="N212" s="1"/>
      <c r="O212" s="1"/>
    </row>
    <row r="213" spans="1:15" ht="32" customHeight="1">
      <c r="A213" s="4"/>
      <c r="B213" s="4"/>
      <c r="C213" s="6"/>
      <c r="D213" s="4"/>
      <c r="E213" s="12"/>
      <c r="F213" s="6"/>
      <c r="G213" s="4"/>
      <c r="H213" s="14"/>
      <c r="I213" s="11" t="str">
        <f>IF(A213="",IF(COUNTA(B213:H213)&gt;0,"MISSING ID",""),IF(COUNTIFS($A$6:$A$305,A213,$B$6:$B$305,B213)&lt;&gt;1,"DUPLICATE CASE/STAGE",IF(AND(B213&lt;&gt;"INITIAL",B213&lt;&gt;"RECON",B213&lt;&gt;"HEARING"),"UNKNOWN STAGE",IF(OR(NOT(ISNUMBER(C213)),C213&gt;Assumptions!$B$5,NOT(ISNUMBER(F213)),F213&lt;C213,F213&gt;Assumptions!$B$5),"INVALID DATES",IF(AND(D213&lt;&gt;"FAVORABLE",D213&lt;&gt;"OTHER"),"UNKNOWN OUTCOME",IF(OR(NOT(ISNUMBER(E213)),E213&lt;0,G213&lt;&gt;"YES"),"INCOMPLETE FEES","OK"))))))</f>
        <v/>
      </c>
      <c r="J213" s="1"/>
      <c r="K213" s="1"/>
      <c r="L213" s="1"/>
      <c r="M213" s="1"/>
      <c r="N213" s="1"/>
      <c r="O213" s="1"/>
    </row>
    <row r="214" spans="1:15" ht="32" customHeight="1">
      <c r="A214" s="4"/>
      <c r="B214" s="4"/>
      <c r="C214" s="6"/>
      <c r="D214" s="4"/>
      <c r="E214" s="12"/>
      <c r="F214" s="6"/>
      <c r="G214" s="4"/>
      <c r="H214" s="14"/>
      <c r="I214" s="11" t="str">
        <f>IF(A214="",IF(COUNTA(B214:H214)&gt;0,"MISSING ID",""),IF(COUNTIFS($A$6:$A$305,A214,$B$6:$B$305,B214)&lt;&gt;1,"DUPLICATE CASE/STAGE",IF(AND(B214&lt;&gt;"INITIAL",B214&lt;&gt;"RECON",B214&lt;&gt;"HEARING"),"UNKNOWN STAGE",IF(OR(NOT(ISNUMBER(C214)),C214&gt;Assumptions!$B$5,NOT(ISNUMBER(F214)),F214&lt;C214,F214&gt;Assumptions!$B$5),"INVALID DATES",IF(AND(D214&lt;&gt;"FAVORABLE",D214&lt;&gt;"OTHER"),"UNKNOWN OUTCOME",IF(OR(NOT(ISNUMBER(E214)),E214&lt;0,G214&lt;&gt;"YES"),"INCOMPLETE FEES","OK"))))))</f>
        <v/>
      </c>
      <c r="J214" s="1"/>
      <c r="K214" s="1"/>
      <c r="L214" s="1"/>
      <c r="M214" s="1"/>
      <c r="N214" s="1"/>
      <c r="O214" s="1"/>
    </row>
    <row r="215" spans="1:15" ht="32" customHeight="1">
      <c r="A215" s="4"/>
      <c r="B215" s="4"/>
      <c r="C215" s="6"/>
      <c r="D215" s="4"/>
      <c r="E215" s="12"/>
      <c r="F215" s="6"/>
      <c r="G215" s="4"/>
      <c r="H215" s="14"/>
      <c r="I215" s="11" t="str">
        <f>IF(A215="",IF(COUNTA(B215:H215)&gt;0,"MISSING ID",""),IF(COUNTIFS($A$6:$A$305,A215,$B$6:$B$305,B215)&lt;&gt;1,"DUPLICATE CASE/STAGE",IF(AND(B215&lt;&gt;"INITIAL",B215&lt;&gt;"RECON",B215&lt;&gt;"HEARING"),"UNKNOWN STAGE",IF(OR(NOT(ISNUMBER(C215)),C215&gt;Assumptions!$B$5,NOT(ISNUMBER(F215)),F215&lt;C215,F215&gt;Assumptions!$B$5),"INVALID DATES",IF(AND(D215&lt;&gt;"FAVORABLE",D215&lt;&gt;"OTHER"),"UNKNOWN OUTCOME",IF(OR(NOT(ISNUMBER(E215)),E215&lt;0,G215&lt;&gt;"YES"),"INCOMPLETE FEES","OK"))))))</f>
        <v/>
      </c>
      <c r="J215" s="1"/>
      <c r="K215" s="1"/>
      <c r="L215" s="1"/>
      <c r="M215" s="1"/>
      <c r="N215" s="1"/>
      <c r="O215" s="1"/>
    </row>
    <row r="216" spans="1:15" ht="32" customHeight="1">
      <c r="A216" s="4"/>
      <c r="B216" s="4"/>
      <c r="C216" s="6"/>
      <c r="D216" s="4"/>
      <c r="E216" s="12"/>
      <c r="F216" s="6"/>
      <c r="G216" s="4"/>
      <c r="H216" s="14"/>
      <c r="I216" s="11" t="str">
        <f>IF(A216="",IF(COUNTA(B216:H216)&gt;0,"MISSING ID",""),IF(COUNTIFS($A$6:$A$305,A216,$B$6:$B$305,B216)&lt;&gt;1,"DUPLICATE CASE/STAGE",IF(AND(B216&lt;&gt;"INITIAL",B216&lt;&gt;"RECON",B216&lt;&gt;"HEARING"),"UNKNOWN STAGE",IF(OR(NOT(ISNUMBER(C216)),C216&gt;Assumptions!$B$5,NOT(ISNUMBER(F216)),F216&lt;C216,F216&gt;Assumptions!$B$5),"INVALID DATES",IF(AND(D216&lt;&gt;"FAVORABLE",D216&lt;&gt;"OTHER"),"UNKNOWN OUTCOME",IF(OR(NOT(ISNUMBER(E216)),E216&lt;0,G216&lt;&gt;"YES"),"INCOMPLETE FEES","OK"))))))</f>
        <v/>
      </c>
      <c r="J216" s="1"/>
      <c r="K216" s="1"/>
      <c r="L216" s="1"/>
      <c r="M216" s="1"/>
      <c r="N216" s="1"/>
      <c r="O216" s="1"/>
    </row>
    <row r="217" spans="1:15" ht="32" customHeight="1">
      <c r="A217" s="4"/>
      <c r="B217" s="4"/>
      <c r="C217" s="6"/>
      <c r="D217" s="4"/>
      <c r="E217" s="12"/>
      <c r="F217" s="6"/>
      <c r="G217" s="4"/>
      <c r="H217" s="14"/>
      <c r="I217" s="11" t="str">
        <f>IF(A217="",IF(COUNTA(B217:H217)&gt;0,"MISSING ID",""),IF(COUNTIFS($A$6:$A$305,A217,$B$6:$B$305,B217)&lt;&gt;1,"DUPLICATE CASE/STAGE",IF(AND(B217&lt;&gt;"INITIAL",B217&lt;&gt;"RECON",B217&lt;&gt;"HEARING"),"UNKNOWN STAGE",IF(OR(NOT(ISNUMBER(C217)),C217&gt;Assumptions!$B$5,NOT(ISNUMBER(F217)),F217&lt;C217,F217&gt;Assumptions!$B$5),"INVALID DATES",IF(AND(D217&lt;&gt;"FAVORABLE",D217&lt;&gt;"OTHER"),"UNKNOWN OUTCOME",IF(OR(NOT(ISNUMBER(E217)),E217&lt;0,G217&lt;&gt;"YES"),"INCOMPLETE FEES","OK"))))))</f>
        <v/>
      </c>
      <c r="J217" s="1"/>
      <c r="K217" s="1"/>
      <c r="L217" s="1"/>
      <c r="M217" s="1"/>
      <c r="N217" s="1"/>
      <c r="O217" s="1"/>
    </row>
    <row r="218" spans="1:15" ht="32" customHeight="1">
      <c r="A218" s="4"/>
      <c r="B218" s="4"/>
      <c r="C218" s="6"/>
      <c r="D218" s="4"/>
      <c r="E218" s="12"/>
      <c r="F218" s="6"/>
      <c r="G218" s="4"/>
      <c r="H218" s="14"/>
      <c r="I218" s="11" t="str">
        <f>IF(A218="",IF(COUNTA(B218:H218)&gt;0,"MISSING ID",""),IF(COUNTIFS($A$6:$A$305,A218,$B$6:$B$305,B218)&lt;&gt;1,"DUPLICATE CASE/STAGE",IF(AND(B218&lt;&gt;"INITIAL",B218&lt;&gt;"RECON",B218&lt;&gt;"HEARING"),"UNKNOWN STAGE",IF(OR(NOT(ISNUMBER(C218)),C218&gt;Assumptions!$B$5,NOT(ISNUMBER(F218)),F218&lt;C218,F218&gt;Assumptions!$B$5),"INVALID DATES",IF(AND(D218&lt;&gt;"FAVORABLE",D218&lt;&gt;"OTHER"),"UNKNOWN OUTCOME",IF(OR(NOT(ISNUMBER(E218)),E218&lt;0,G218&lt;&gt;"YES"),"INCOMPLETE FEES","OK"))))))</f>
        <v/>
      </c>
      <c r="J218" s="1"/>
      <c r="K218" s="1"/>
      <c r="L218" s="1"/>
      <c r="M218" s="1"/>
      <c r="N218" s="1"/>
      <c r="O218" s="1"/>
    </row>
    <row r="219" spans="1:15" ht="32" customHeight="1">
      <c r="A219" s="4"/>
      <c r="B219" s="4"/>
      <c r="C219" s="6"/>
      <c r="D219" s="4"/>
      <c r="E219" s="12"/>
      <c r="F219" s="6"/>
      <c r="G219" s="4"/>
      <c r="H219" s="14"/>
      <c r="I219" s="11" t="str">
        <f>IF(A219="",IF(COUNTA(B219:H219)&gt;0,"MISSING ID",""),IF(COUNTIFS($A$6:$A$305,A219,$B$6:$B$305,B219)&lt;&gt;1,"DUPLICATE CASE/STAGE",IF(AND(B219&lt;&gt;"INITIAL",B219&lt;&gt;"RECON",B219&lt;&gt;"HEARING"),"UNKNOWN STAGE",IF(OR(NOT(ISNUMBER(C219)),C219&gt;Assumptions!$B$5,NOT(ISNUMBER(F219)),F219&lt;C219,F219&gt;Assumptions!$B$5),"INVALID DATES",IF(AND(D219&lt;&gt;"FAVORABLE",D219&lt;&gt;"OTHER"),"UNKNOWN OUTCOME",IF(OR(NOT(ISNUMBER(E219)),E219&lt;0,G219&lt;&gt;"YES"),"INCOMPLETE FEES","OK"))))))</f>
        <v/>
      </c>
      <c r="J219" s="1"/>
      <c r="K219" s="1"/>
      <c r="L219" s="1"/>
      <c r="M219" s="1"/>
      <c r="N219" s="1"/>
      <c r="O219" s="1"/>
    </row>
    <row r="220" spans="1:15" ht="32" customHeight="1">
      <c r="A220" s="4"/>
      <c r="B220" s="4"/>
      <c r="C220" s="6"/>
      <c r="D220" s="4"/>
      <c r="E220" s="12"/>
      <c r="F220" s="6"/>
      <c r="G220" s="4"/>
      <c r="H220" s="14"/>
      <c r="I220" s="11" t="str">
        <f>IF(A220="",IF(COUNTA(B220:H220)&gt;0,"MISSING ID",""),IF(COUNTIFS($A$6:$A$305,A220,$B$6:$B$305,B220)&lt;&gt;1,"DUPLICATE CASE/STAGE",IF(AND(B220&lt;&gt;"INITIAL",B220&lt;&gt;"RECON",B220&lt;&gt;"HEARING"),"UNKNOWN STAGE",IF(OR(NOT(ISNUMBER(C220)),C220&gt;Assumptions!$B$5,NOT(ISNUMBER(F220)),F220&lt;C220,F220&gt;Assumptions!$B$5),"INVALID DATES",IF(AND(D220&lt;&gt;"FAVORABLE",D220&lt;&gt;"OTHER"),"UNKNOWN OUTCOME",IF(OR(NOT(ISNUMBER(E220)),E220&lt;0,G220&lt;&gt;"YES"),"INCOMPLETE FEES","OK"))))))</f>
        <v/>
      </c>
      <c r="J220" s="1"/>
      <c r="K220" s="1"/>
      <c r="L220" s="1"/>
      <c r="M220" s="1"/>
      <c r="N220" s="1"/>
      <c r="O220" s="1"/>
    </row>
    <row r="221" spans="1:15" ht="32" customHeight="1">
      <c r="A221" s="4"/>
      <c r="B221" s="4"/>
      <c r="C221" s="6"/>
      <c r="D221" s="4"/>
      <c r="E221" s="12"/>
      <c r="F221" s="6"/>
      <c r="G221" s="4"/>
      <c r="H221" s="14"/>
      <c r="I221" s="11" t="str">
        <f>IF(A221="",IF(COUNTA(B221:H221)&gt;0,"MISSING ID",""),IF(COUNTIFS($A$6:$A$305,A221,$B$6:$B$305,B221)&lt;&gt;1,"DUPLICATE CASE/STAGE",IF(AND(B221&lt;&gt;"INITIAL",B221&lt;&gt;"RECON",B221&lt;&gt;"HEARING"),"UNKNOWN STAGE",IF(OR(NOT(ISNUMBER(C221)),C221&gt;Assumptions!$B$5,NOT(ISNUMBER(F221)),F221&lt;C221,F221&gt;Assumptions!$B$5),"INVALID DATES",IF(AND(D221&lt;&gt;"FAVORABLE",D221&lt;&gt;"OTHER"),"UNKNOWN OUTCOME",IF(OR(NOT(ISNUMBER(E221)),E221&lt;0,G221&lt;&gt;"YES"),"INCOMPLETE FEES","OK"))))))</f>
        <v/>
      </c>
      <c r="J221" s="1"/>
      <c r="K221" s="1"/>
      <c r="L221" s="1"/>
      <c r="M221" s="1"/>
      <c r="N221" s="1"/>
      <c r="O221" s="1"/>
    </row>
    <row r="222" spans="1:15" ht="32" customHeight="1">
      <c r="A222" s="4"/>
      <c r="B222" s="4"/>
      <c r="C222" s="6"/>
      <c r="D222" s="4"/>
      <c r="E222" s="12"/>
      <c r="F222" s="6"/>
      <c r="G222" s="4"/>
      <c r="H222" s="14"/>
      <c r="I222" s="11" t="str">
        <f>IF(A222="",IF(COUNTA(B222:H222)&gt;0,"MISSING ID",""),IF(COUNTIFS($A$6:$A$305,A222,$B$6:$B$305,B222)&lt;&gt;1,"DUPLICATE CASE/STAGE",IF(AND(B222&lt;&gt;"INITIAL",B222&lt;&gt;"RECON",B222&lt;&gt;"HEARING"),"UNKNOWN STAGE",IF(OR(NOT(ISNUMBER(C222)),C222&gt;Assumptions!$B$5,NOT(ISNUMBER(F222)),F222&lt;C222,F222&gt;Assumptions!$B$5),"INVALID DATES",IF(AND(D222&lt;&gt;"FAVORABLE",D222&lt;&gt;"OTHER"),"UNKNOWN OUTCOME",IF(OR(NOT(ISNUMBER(E222)),E222&lt;0,G222&lt;&gt;"YES"),"INCOMPLETE FEES","OK"))))))</f>
        <v/>
      </c>
      <c r="J222" s="1"/>
      <c r="K222" s="1"/>
      <c r="L222" s="1"/>
      <c r="M222" s="1"/>
      <c r="N222" s="1"/>
      <c r="O222" s="1"/>
    </row>
    <row r="223" spans="1:15" ht="32" customHeight="1">
      <c r="A223" s="4"/>
      <c r="B223" s="4"/>
      <c r="C223" s="6"/>
      <c r="D223" s="4"/>
      <c r="E223" s="12"/>
      <c r="F223" s="6"/>
      <c r="G223" s="4"/>
      <c r="H223" s="14"/>
      <c r="I223" s="11" t="str">
        <f>IF(A223="",IF(COUNTA(B223:H223)&gt;0,"MISSING ID",""),IF(COUNTIFS($A$6:$A$305,A223,$B$6:$B$305,B223)&lt;&gt;1,"DUPLICATE CASE/STAGE",IF(AND(B223&lt;&gt;"INITIAL",B223&lt;&gt;"RECON",B223&lt;&gt;"HEARING"),"UNKNOWN STAGE",IF(OR(NOT(ISNUMBER(C223)),C223&gt;Assumptions!$B$5,NOT(ISNUMBER(F223)),F223&lt;C223,F223&gt;Assumptions!$B$5),"INVALID DATES",IF(AND(D223&lt;&gt;"FAVORABLE",D223&lt;&gt;"OTHER"),"UNKNOWN OUTCOME",IF(OR(NOT(ISNUMBER(E223)),E223&lt;0,G223&lt;&gt;"YES"),"INCOMPLETE FEES","OK"))))))</f>
        <v/>
      </c>
      <c r="J223" s="1"/>
      <c r="K223" s="1"/>
      <c r="L223" s="1"/>
      <c r="M223" s="1"/>
      <c r="N223" s="1"/>
      <c r="O223" s="1"/>
    </row>
    <row r="224" spans="1:15" ht="32" customHeight="1">
      <c r="A224" s="4"/>
      <c r="B224" s="4"/>
      <c r="C224" s="6"/>
      <c r="D224" s="4"/>
      <c r="E224" s="12"/>
      <c r="F224" s="6"/>
      <c r="G224" s="4"/>
      <c r="H224" s="14"/>
      <c r="I224" s="11" t="str">
        <f>IF(A224="",IF(COUNTA(B224:H224)&gt;0,"MISSING ID",""),IF(COUNTIFS($A$6:$A$305,A224,$B$6:$B$305,B224)&lt;&gt;1,"DUPLICATE CASE/STAGE",IF(AND(B224&lt;&gt;"INITIAL",B224&lt;&gt;"RECON",B224&lt;&gt;"HEARING"),"UNKNOWN STAGE",IF(OR(NOT(ISNUMBER(C224)),C224&gt;Assumptions!$B$5,NOT(ISNUMBER(F224)),F224&lt;C224,F224&gt;Assumptions!$B$5),"INVALID DATES",IF(AND(D224&lt;&gt;"FAVORABLE",D224&lt;&gt;"OTHER"),"UNKNOWN OUTCOME",IF(OR(NOT(ISNUMBER(E224)),E224&lt;0,G224&lt;&gt;"YES"),"INCOMPLETE FEES","OK"))))))</f>
        <v/>
      </c>
      <c r="J224" s="1"/>
      <c r="K224" s="1"/>
      <c r="L224" s="1"/>
      <c r="M224" s="1"/>
      <c r="N224" s="1"/>
      <c r="O224" s="1"/>
    </row>
    <row r="225" spans="1:15" ht="32" customHeight="1">
      <c r="A225" s="4"/>
      <c r="B225" s="4"/>
      <c r="C225" s="6"/>
      <c r="D225" s="4"/>
      <c r="E225" s="12"/>
      <c r="F225" s="6"/>
      <c r="G225" s="4"/>
      <c r="H225" s="14"/>
      <c r="I225" s="11" t="str">
        <f>IF(A225="",IF(COUNTA(B225:H225)&gt;0,"MISSING ID",""),IF(COUNTIFS($A$6:$A$305,A225,$B$6:$B$305,B225)&lt;&gt;1,"DUPLICATE CASE/STAGE",IF(AND(B225&lt;&gt;"INITIAL",B225&lt;&gt;"RECON",B225&lt;&gt;"HEARING"),"UNKNOWN STAGE",IF(OR(NOT(ISNUMBER(C225)),C225&gt;Assumptions!$B$5,NOT(ISNUMBER(F225)),F225&lt;C225,F225&gt;Assumptions!$B$5),"INVALID DATES",IF(AND(D225&lt;&gt;"FAVORABLE",D225&lt;&gt;"OTHER"),"UNKNOWN OUTCOME",IF(OR(NOT(ISNUMBER(E225)),E225&lt;0,G225&lt;&gt;"YES"),"INCOMPLETE FEES","OK"))))))</f>
        <v/>
      </c>
      <c r="J225" s="1"/>
      <c r="K225" s="1"/>
      <c r="L225" s="1"/>
      <c r="M225" s="1"/>
      <c r="N225" s="1"/>
      <c r="O225" s="1"/>
    </row>
    <row r="226" spans="1:15" ht="32" customHeight="1">
      <c r="A226" s="4"/>
      <c r="B226" s="4"/>
      <c r="C226" s="6"/>
      <c r="D226" s="4"/>
      <c r="E226" s="12"/>
      <c r="F226" s="6"/>
      <c r="G226" s="4"/>
      <c r="H226" s="14"/>
      <c r="I226" s="11" t="str">
        <f>IF(A226="",IF(COUNTA(B226:H226)&gt;0,"MISSING ID",""),IF(COUNTIFS($A$6:$A$305,A226,$B$6:$B$305,B226)&lt;&gt;1,"DUPLICATE CASE/STAGE",IF(AND(B226&lt;&gt;"INITIAL",B226&lt;&gt;"RECON",B226&lt;&gt;"HEARING"),"UNKNOWN STAGE",IF(OR(NOT(ISNUMBER(C226)),C226&gt;Assumptions!$B$5,NOT(ISNUMBER(F226)),F226&lt;C226,F226&gt;Assumptions!$B$5),"INVALID DATES",IF(AND(D226&lt;&gt;"FAVORABLE",D226&lt;&gt;"OTHER"),"UNKNOWN OUTCOME",IF(OR(NOT(ISNUMBER(E226)),E226&lt;0,G226&lt;&gt;"YES"),"INCOMPLETE FEES","OK"))))))</f>
        <v/>
      </c>
      <c r="J226" s="1"/>
      <c r="K226" s="1"/>
      <c r="L226" s="1"/>
      <c r="M226" s="1"/>
      <c r="N226" s="1"/>
      <c r="O226" s="1"/>
    </row>
    <row r="227" spans="1:15" ht="32" customHeight="1">
      <c r="A227" s="4"/>
      <c r="B227" s="4"/>
      <c r="C227" s="6"/>
      <c r="D227" s="4"/>
      <c r="E227" s="12"/>
      <c r="F227" s="6"/>
      <c r="G227" s="4"/>
      <c r="H227" s="14"/>
      <c r="I227" s="11" t="str">
        <f>IF(A227="",IF(COUNTA(B227:H227)&gt;0,"MISSING ID",""),IF(COUNTIFS($A$6:$A$305,A227,$B$6:$B$305,B227)&lt;&gt;1,"DUPLICATE CASE/STAGE",IF(AND(B227&lt;&gt;"INITIAL",B227&lt;&gt;"RECON",B227&lt;&gt;"HEARING"),"UNKNOWN STAGE",IF(OR(NOT(ISNUMBER(C227)),C227&gt;Assumptions!$B$5,NOT(ISNUMBER(F227)),F227&lt;C227,F227&gt;Assumptions!$B$5),"INVALID DATES",IF(AND(D227&lt;&gt;"FAVORABLE",D227&lt;&gt;"OTHER"),"UNKNOWN OUTCOME",IF(OR(NOT(ISNUMBER(E227)),E227&lt;0,G227&lt;&gt;"YES"),"INCOMPLETE FEES","OK"))))))</f>
        <v/>
      </c>
      <c r="J227" s="1"/>
      <c r="K227" s="1"/>
      <c r="L227" s="1"/>
      <c r="M227" s="1"/>
      <c r="N227" s="1"/>
      <c r="O227" s="1"/>
    </row>
    <row r="228" spans="1:15" ht="32" customHeight="1">
      <c r="A228" s="4"/>
      <c r="B228" s="4"/>
      <c r="C228" s="6"/>
      <c r="D228" s="4"/>
      <c r="E228" s="12"/>
      <c r="F228" s="6"/>
      <c r="G228" s="4"/>
      <c r="H228" s="14"/>
      <c r="I228" s="11" t="str">
        <f>IF(A228="",IF(COUNTA(B228:H228)&gt;0,"MISSING ID",""),IF(COUNTIFS($A$6:$A$305,A228,$B$6:$B$305,B228)&lt;&gt;1,"DUPLICATE CASE/STAGE",IF(AND(B228&lt;&gt;"INITIAL",B228&lt;&gt;"RECON",B228&lt;&gt;"HEARING"),"UNKNOWN STAGE",IF(OR(NOT(ISNUMBER(C228)),C228&gt;Assumptions!$B$5,NOT(ISNUMBER(F228)),F228&lt;C228,F228&gt;Assumptions!$B$5),"INVALID DATES",IF(AND(D228&lt;&gt;"FAVORABLE",D228&lt;&gt;"OTHER"),"UNKNOWN OUTCOME",IF(OR(NOT(ISNUMBER(E228)),E228&lt;0,G228&lt;&gt;"YES"),"INCOMPLETE FEES","OK"))))))</f>
        <v/>
      </c>
      <c r="J228" s="1"/>
      <c r="K228" s="1"/>
      <c r="L228" s="1"/>
      <c r="M228" s="1"/>
      <c r="N228" s="1"/>
      <c r="O228" s="1"/>
    </row>
    <row r="229" spans="1:15" ht="32" customHeight="1">
      <c r="A229" s="4"/>
      <c r="B229" s="4"/>
      <c r="C229" s="6"/>
      <c r="D229" s="4"/>
      <c r="E229" s="12"/>
      <c r="F229" s="6"/>
      <c r="G229" s="4"/>
      <c r="H229" s="14"/>
      <c r="I229" s="11" t="str">
        <f>IF(A229="",IF(COUNTA(B229:H229)&gt;0,"MISSING ID",""),IF(COUNTIFS($A$6:$A$305,A229,$B$6:$B$305,B229)&lt;&gt;1,"DUPLICATE CASE/STAGE",IF(AND(B229&lt;&gt;"INITIAL",B229&lt;&gt;"RECON",B229&lt;&gt;"HEARING"),"UNKNOWN STAGE",IF(OR(NOT(ISNUMBER(C229)),C229&gt;Assumptions!$B$5,NOT(ISNUMBER(F229)),F229&lt;C229,F229&gt;Assumptions!$B$5),"INVALID DATES",IF(AND(D229&lt;&gt;"FAVORABLE",D229&lt;&gt;"OTHER"),"UNKNOWN OUTCOME",IF(OR(NOT(ISNUMBER(E229)),E229&lt;0,G229&lt;&gt;"YES"),"INCOMPLETE FEES","OK"))))))</f>
        <v/>
      </c>
      <c r="J229" s="1"/>
      <c r="K229" s="1"/>
      <c r="L229" s="1"/>
      <c r="M229" s="1"/>
      <c r="N229" s="1"/>
      <c r="O229" s="1"/>
    </row>
    <row r="230" spans="1:15" ht="32" customHeight="1">
      <c r="A230" s="4"/>
      <c r="B230" s="4"/>
      <c r="C230" s="6"/>
      <c r="D230" s="4"/>
      <c r="E230" s="12"/>
      <c r="F230" s="6"/>
      <c r="G230" s="4"/>
      <c r="H230" s="14"/>
      <c r="I230" s="11" t="str">
        <f>IF(A230="",IF(COUNTA(B230:H230)&gt;0,"MISSING ID",""),IF(COUNTIFS($A$6:$A$305,A230,$B$6:$B$305,B230)&lt;&gt;1,"DUPLICATE CASE/STAGE",IF(AND(B230&lt;&gt;"INITIAL",B230&lt;&gt;"RECON",B230&lt;&gt;"HEARING"),"UNKNOWN STAGE",IF(OR(NOT(ISNUMBER(C230)),C230&gt;Assumptions!$B$5,NOT(ISNUMBER(F230)),F230&lt;C230,F230&gt;Assumptions!$B$5),"INVALID DATES",IF(AND(D230&lt;&gt;"FAVORABLE",D230&lt;&gt;"OTHER"),"UNKNOWN OUTCOME",IF(OR(NOT(ISNUMBER(E230)),E230&lt;0,G230&lt;&gt;"YES"),"INCOMPLETE FEES","OK"))))))</f>
        <v/>
      </c>
      <c r="J230" s="1"/>
      <c r="K230" s="1"/>
      <c r="L230" s="1"/>
      <c r="M230" s="1"/>
      <c r="N230" s="1"/>
      <c r="O230" s="1"/>
    </row>
    <row r="231" spans="1:15" ht="32" customHeight="1">
      <c r="A231" s="4"/>
      <c r="B231" s="4"/>
      <c r="C231" s="6"/>
      <c r="D231" s="4"/>
      <c r="E231" s="12"/>
      <c r="F231" s="6"/>
      <c r="G231" s="4"/>
      <c r="H231" s="14"/>
      <c r="I231" s="11" t="str">
        <f>IF(A231="",IF(COUNTA(B231:H231)&gt;0,"MISSING ID",""),IF(COUNTIFS($A$6:$A$305,A231,$B$6:$B$305,B231)&lt;&gt;1,"DUPLICATE CASE/STAGE",IF(AND(B231&lt;&gt;"INITIAL",B231&lt;&gt;"RECON",B231&lt;&gt;"HEARING"),"UNKNOWN STAGE",IF(OR(NOT(ISNUMBER(C231)),C231&gt;Assumptions!$B$5,NOT(ISNUMBER(F231)),F231&lt;C231,F231&gt;Assumptions!$B$5),"INVALID DATES",IF(AND(D231&lt;&gt;"FAVORABLE",D231&lt;&gt;"OTHER"),"UNKNOWN OUTCOME",IF(OR(NOT(ISNUMBER(E231)),E231&lt;0,G231&lt;&gt;"YES"),"INCOMPLETE FEES","OK"))))))</f>
        <v/>
      </c>
      <c r="J231" s="1"/>
      <c r="K231" s="1"/>
      <c r="L231" s="1"/>
      <c r="M231" s="1"/>
      <c r="N231" s="1"/>
      <c r="O231" s="1"/>
    </row>
    <row r="232" spans="1:15" ht="32" customHeight="1">
      <c r="A232" s="4"/>
      <c r="B232" s="4"/>
      <c r="C232" s="6"/>
      <c r="D232" s="4"/>
      <c r="E232" s="12"/>
      <c r="F232" s="6"/>
      <c r="G232" s="4"/>
      <c r="H232" s="14"/>
      <c r="I232" s="11" t="str">
        <f>IF(A232="",IF(COUNTA(B232:H232)&gt;0,"MISSING ID",""),IF(COUNTIFS($A$6:$A$305,A232,$B$6:$B$305,B232)&lt;&gt;1,"DUPLICATE CASE/STAGE",IF(AND(B232&lt;&gt;"INITIAL",B232&lt;&gt;"RECON",B232&lt;&gt;"HEARING"),"UNKNOWN STAGE",IF(OR(NOT(ISNUMBER(C232)),C232&gt;Assumptions!$B$5,NOT(ISNUMBER(F232)),F232&lt;C232,F232&gt;Assumptions!$B$5),"INVALID DATES",IF(AND(D232&lt;&gt;"FAVORABLE",D232&lt;&gt;"OTHER"),"UNKNOWN OUTCOME",IF(OR(NOT(ISNUMBER(E232)),E232&lt;0,G232&lt;&gt;"YES"),"INCOMPLETE FEES","OK"))))))</f>
        <v/>
      </c>
      <c r="J232" s="1"/>
      <c r="K232" s="1"/>
      <c r="L232" s="1"/>
      <c r="M232" s="1"/>
      <c r="N232" s="1"/>
      <c r="O232" s="1"/>
    </row>
    <row r="233" spans="1:15" ht="32" customHeight="1">
      <c r="A233" s="4"/>
      <c r="B233" s="4"/>
      <c r="C233" s="6"/>
      <c r="D233" s="4"/>
      <c r="E233" s="12"/>
      <c r="F233" s="6"/>
      <c r="G233" s="4"/>
      <c r="H233" s="14"/>
      <c r="I233" s="11" t="str">
        <f>IF(A233="",IF(COUNTA(B233:H233)&gt;0,"MISSING ID",""),IF(COUNTIFS($A$6:$A$305,A233,$B$6:$B$305,B233)&lt;&gt;1,"DUPLICATE CASE/STAGE",IF(AND(B233&lt;&gt;"INITIAL",B233&lt;&gt;"RECON",B233&lt;&gt;"HEARING"),"UNKNOWN STAGE",IF(OR(NOT(ISNUMBER(C233)),C233&gt;Assumptions!$B$5,NOT(ISNUMBER(F233)),F233&lt;C233,F233&gt;Assumptions!$B$5),"INVALID DATES",IF(AND(D233&lt;&gt;"FAVORABLE",D233&lt;&gt;"OTHER"),"UNKNOWN OUTCOME",IF(OR(NOT(ISNUMBER(E233)),E233&lt;0,G233&lt;&gt;"YES"),"INCOMPLETE FEES","OK"))))))</f>
        <v/>
      </c>
      <c r="J233" s="1"/>
      <c r="K233" s="1"/>
      <c r="L233" s="1"/>
      <c r="M233" s="1"/>
      <c r="N233" s="1"/>
      <c r="O233" s="1"/>
    </row>
    <row r="234" spans="1:15" ht="32" customHeight="1">
      <c r="A234" s="4"/>
      <c r="B234" s="4"/>
      <c r="C234" s="6"/>
      <c r="D234" s="4"/>
      <c r="E234" s="12"/>
      <c r="F234" s="6"/>
      <c r="G234" s="4"/>
      <c r="H234" s="14"/>
      <c r="I234" s="11" t="str">
        <f>IF(A234="",IF(COUNTA(B234:H234)&gt;0,"MISSING ID",""),IF(COUNTIFS($A$6:$A$305,A234,$B$6:$B$305,B234)&lt;&gt;1,"DUPLICATE CASE/STAGE",IF(AND(B234&lt;&gt;"INITIAL",B234&lt;&gt;"RECON",B234&lt;&gt;"HEARING"),"UNKNOWN STAGE",IF(OR(NOT(ISNUMBER(C234)),C234&gt;Assumptions!$B$5,NOT(ISNUMBER(F234)),F234&lt;C234,F234&gt;Assumptions!$B$5),"INVALID DATES",IF(AND(D234&lt;&gt;"FAVORABLE",D234&lt;&gt;"OTHER"),"UNKNOWN OUTCOME",IF(OR(NOT(ISNUMBER(E234)),E234&lt;0,G234&lt;&gt;"YES"),"INCOMPLETE FEES","OK"))))))</f>
        <v/>
      </c>
      <c r="J234" s="1"/>
      <c r="K234" s="1"/>
      <c r="L234" s="1"/>
      <c r="M234" s="1"/>
      <c r="N234" s="1"/>
      <c r="O234" s="1"/>
    </row>
    <row r="235" spans="1:15" ht="32" customHeight="1">
      <c r="A235" s="4"/>
      <c r="B235" s="4"/>
      <c r="C235" s="6"/>
      <c r="D235" s="4"/>
      <c r="E235" s="12"/>
      <c r="F235" s="6"/>
      <c r="G235" s="4"/>
      <c r="H235" s="14"/>
      <c r="I235" s="11" t="str">
        <f>IF(A235="",IF(COUNTA(B235:H235)&gt;0,"MISSING ID",""),IF(COUNTIFS($A$6:$A$305,A235,$B$6:$B$305,B235)&lt;&gt;1,"DUPLICATE CASE/STAGE",IF(AND(B235&lt;&gt;"INITIAL",B235&lt;&gt;"RECON",B235&lt;&gt;"HEARING"),"UNKNOWN STAGE",IF(OR(NOT(ISNUMBER(C235)),C235&gt;Assumptions!$B$5,NOT(ISNUMBER(F235)),F235&lt;C235,F235&gt;Assumptions!$B$5),"INVALID DATES",IF(AND(D235&lt;&gt;"FAVORABLE",D235&lt;&gt;"OTHER"),"UNKNOWN OUTCOME",IF(OR(NOT(ISNUMBER(E235)),E235&lt;0,G235&lt;&gt;"YES"),"INCOMPLETE FEES","OK"))))))</f>
        <v/>
      </c>
      <c r="J235" s="1"/>
      <c r="K235" s="1"/>
      <c r="L235" s="1"/>
      <c r="M235" s="1"/>
      <c r="N235" s="1"/>
      <c r="O235" s="1"/>
    </row>
    <row r="236" spans="1:15" ht="32" customHeight="1">
      <c r="A236" s="4"/>
      <c r="B236" s="4"/>
      <c r="C236" s="6"/>
      <c r="D236" s="4"/>
      <c r="E236" s="12"/>
      <c r="F236" s="6"/>
      <c r="G236" s="4"/>
      <c r="H236" s="14"/>
      <c r="I236" s="11" t="str">
        <f>IF(A236="",IF(COUNTA(B236:H236)&gt;0,"MISSING ID",""),IF(COUNTIFS($A$6:$A$305,A236,$B$6:$B$305,B236)&lt;&gt;1,"DUPLICATE CASE/STAGE",IF(AND(B236&lt;&gt;"INITIAL",B236&lt;&gt;"RECON",B236&lt;&gt;"HEARING"),"UNKNOWN STAGE",IF(OR(NOT(ISNUMBER(C236)),C236&gt;Assumptions!$B$5,NOT(ISNUMBER(F236)),F236&lt;C236,F236&gt;Assumptions!$B$5),"INVALID DATES",IF(AND(D236&lt;&gt;"FAVORABLE",D236&lt;&gt;"OTHER"),"UNKNOWN OUTCOME",IF(OR(NOT(ISNUMBER(E236)),E236&lt;0,G236&lt;&gt;"YES"),"INCOMPLETE FEES","OK"))))))</f>
        <v/>
      </c>
      <c r="J236" s="1"/>
      <c r="K236" s="1"/>
      <c r="L236" s="1"/>
      <c r="M236" s="1"/>
      <c r="N236" s="1"/>
      <c r="O236" s="1"/>
    </row>
    <row r="237" spans="1:15" ht="32" customHeight="1">
      <c r="A237" s="4"/>
      <c r="B237" s="4"/>
      <c r="C237" s="6"/>
      <c r="D237" s="4"/>
      <c r="E237" s="12"/>
      <c r="F237" s="6"/>
      <c r="G237" s="4"/>
      <c r="H237" s="14"/>
      <c r="I237" s="11" t="str">
        <f>IF(A237="",IF(COUNTA(B237:H237)&gt;0,"MISSING ID",""),IF(COUNTIFS($A$6:$A$305,A237,$B$6:$B$305,B237)&lt;&gt;1,"DUPLICATE CASE/STAGE",IF(AND(B237&lt;&gt;"INITIAL",B237&lt;&gt;"RECON",B237&lt;&gt;"HEARING"),"UNKNOWN STAGE",IF(OR(NOT(ISNUMBER(C237)),C237&gt;Assumptions!$B$5,NOT(ISNUMBER(F237)),F237&lt;C237,F237&gt;Assumptions!$B$5),"INVALID DATES",IF(AND(D237&lt;&gt;"FAVORABLE",D237&lt;&gt;"OTHER"),"UNKNOWN OUTCOME",IF(OR(NOT(ISNUMBER(E237)),E237&lt;0,G237&lt;&gt;"YES"),"INCOMPLETE FEES","OK"))))))</f>
        <v/>
      </c>
      <c r="J237" s="1"/>
      <c r="K237" s="1"/>
      <c r="L237" s="1"/>
      <c r="M237" s="1"/>
      <c r="N237" s="1"/>
      <c r="O237" s="1"/>
    </row>
    <row r="238" spans="1:15" ht="32" customHeight="1">
      <c r="A238" s="4"/>
      <c r="B238" s="4"/>
      <c r="C238" s="6"/>
      <c r="D238" s="4"/>
      <c r="E238" s="12"/>
      <c r="F238" s="6"/>
      <c r="G238" s="4"/>
      <c r="H238" s="14"/>
      <c r="I238" s="11" t="str">
        <f>IF(A238="",IF(COUNTA(B238:H238)&gt;0,"MISSING ID",""),IF(COUNTIFS($A$6:$A$305,A238,$B$6:$B$305,B238)&lt;&gt;1,"DUPLICATE CASE/STAGE",IF(AND(B238&lt;&gt;"INITIAL",B238&lt;&gt;"RECON",B238&lt;&gt;"HEARING"),"UNKNOWN STAGE",IF(OR(NOT(ISNUMBER(C238)),C238&gt;Assumptions!$B$5,NOT(ISNUMBER(F238)),F238&lt;C238,F238&gt;Assumptions!$B$5),"INVALID DATES",IF(AND(D238&lt;&gt;"FAVORABLE",D238&lt;&gt;"OTHER"),"UNKNOWN OUTCOME",IF(OR(NOT(ISNUMBER(E238)),E238&lt;0,G238&lt;&gt;"YES"),"INCOMPLETE FEES","OK"))))))</f>
        <v/>
      </c>
      <c r="J238" s="1"/>
      <c r="K238" s="1"/>
      <c r="L238" s="1"/>
      <c r="M238" s="1"/>
      <c r="N238" s="1"/>
      <c r="O238" s="1"/>
    </row>
    <row r="239" spans="1:15" ht="32" customHeight="1">
      <c r="A239" s="4"/>
      <c r="B239" s="4"/>
      <c r="C239" s="6"/>
      <c r="D239" s="4"/>
      <c r="E239" s="12"/>
      <c r="F239" s="6"/>
      <c r="G239" s="4"/>
      <c r="H239" s="14"/>
      <c r="I239" s="11" t="str">
        <f>IF(A239="",IF(COUNTA(B239:H239)&gt;0,"MISSING ID",""),IF(COUNTIFS($A$6:$A$305,A239,$B$6:$B$305,B239)&lt;&gt;1,"DUPLICATE CASE/STAGE",IF(AND(B239&lt;&gt;"INITIAL",B239&lt;&gt;"RECON",B239&lt;&gt;"HEARING"),"UNKNOWN STAGE",IF(OR(NOT(ISNUMBER(C239)),C239&gt;Assumptions!$B$5,NOT(ISNUMBER(F239)),F239&lt;C239,F239&gt;Assumptions!$B$5),"INVALID DATES",IF(AND(D239&lt;&gt;"FAVORABLE",D239&lt;&gt;"OTHER"),"UNKNOWN OUTCOME",IF(OR(NOT(ISNUMBER(E239)),E239&lt;0,G239&lt;&gt;"YES"),"INCOMPLETE FEES","OK"))))))</f>
        <v/>
      </c>
      <c r="J239" s="1"/>
      <c r="K239" s="1"/>
      <c r="L239" s="1"/>
      <c r="M239" s="1"/>
      <c r="N239" s="1"/>
      <c r="O239" s="1"/>
    </row>
    <row r="240" spans="1:15" ht="32" customHeight="1">
      <c r="A240" s="4"/>
      <c r="B240" s="4"/>
      <c r="C240" s="6"/>
      <c r="D240" s="4"/>
      <c r="E240" s="12"/>
      <c r="F240" s="6"/>
      <c r="G240" s="4"/>
      <c r="H240" s="14"/>
      <c r="I240" s="11" t="str">
        <f>IF(A240="",IF(COUNTA(B240:H240)&gt;0,"MISSING ID",""),IF(COUNTIFS($A$6:$A$305,A240,$B$6:$B$305,B240)&lt;&gt;1,"DUPLICATE CASE/STAGE",IF(AND(B240&lt;&gt;"INITIAL",B240&lt;&gt;"RECON",B240&lt;&gt;"HEARING"),"UNKNOWN STAGE",IF(OR(NOT(ISNUMBER(C240)),C240&gt;Assumptions!$B$5,NOT(ISNUMBER(F240)),F240&lt;C240,F240&gt;Assumptions!$B$5),"INVALID DATES",IF(AND(D240&lt;&gt;"FAVORABLE",D240&lt;&gt;"OTHER"),"UNKNOWN OUTCOME",IF(OR(NOT(ISNUMBER(E240)),E240&lt;0,G240&lt;&gt;"YES"),"INCOMPLETE FEES","OK"))))))</f>
        <v/>
      </c>
      <c r="J240" s="1"/>
      <c r="K240" s="1"/>
      <c r="L240" s="1"/>
      <c r="M240" s="1"/>
      <c r="N240" s="1"/>
      <c r="O240" s="1"/>
    </row>
    <row r="241" spans="1:15" ht="32" customHeight="1">
      <c r="A241" s="4"/>
      <c r="B241" s="4"/>
      <c r="C241" s="6"/>
      <c r="D241" s="4"/>
      <c r="E241" s="12"/>
      <c r="F241" s="6"/>
      <c r="G241" s="4"/>
      <c r="H241" s="14"/>
      <c r="I241" s="11" t="str">
        <f>IF(A241="",IF(COUNTA(B241:H241)&gt;0,"MISSING ID",""),IF(COUNTIFS($A$6:$A$305,A241,$B$6:$B$305,B241)&lt;&gt;1,"DUPLICATE CASE/STAGE",IF(AND(B241&lt;&gt;"INITIAL",B241&lt;&gt;"RECON",B241&lt;&gt;"HEARING"),"UNKNOWN STAGE",IF(OR(NOT(ISNUMBER(C241)),C241&gt;Assumptions!$B$5,NOT(ISNUMBER(F241)),F241&lt;C241,F241&gt;Assumptions!$B$5),"INVALID DATES",IF(AND(D241&lt;&gt;"FAVORABLE",D241&lt;&gt;"OTHER"),"UNKNOWN OUTCOME",IF(OR(NOT(ISNUMBER(E241)),E241&lt;0,G241&lt;&gt;"YES"),"INCOMPLETE FEES","OK"))))))</f>
        <v/>
      </c>
      <c r="J241" s="1"/>
      <c r="K241" s="1"/>
      <c r="L241" s="1"/>
      <c r="M241" s="1"/>
      <c r="N241" s="1"/>
      <c r="O241" s="1"/>
    </row>
    <row r="242" spans="1:15" ht="32" customHeight="1">
      <c r="A242" s="4"/>
      <c r="B242" s="4"/>
      <c r="C242" s="6"/>
      <c r="D242" s="4"/>
      <c r="E242" s="12"/>
      <c r="F242" s="6"/>
      <c r="G242" s="4"/>
      <c r="H242" s="14"/>
      <c r="I242" s="11" t="str">
        <f>IF(A242="",IF(COUNTA(B242:H242)&gt;0,"MISSING ID",""),IF(COUNTIFS($A$6:$A$305,A242,$B$6:$B$305,B242)&lt;&gt;1,"DUPLICATE CASE/STAGE",IF(AND(B242&lt;&gt;"INITIAL",B242&lt;&gt;"RECON",B242&lt;&gt;"HEARING"),"UNKNOWN STAGE",IF(OR(NOT(ISNUMBER(C242)),C242&gt;Assumptions!$B$5,NOT(ISNUMBER(F242)),F242&lt;C242,F242&gt;Assumptions!$B$5),"INVALID DATES",IF(AND(D242&lt;&gt;"FAVORABLE",D242&lt;&gt;"OTHER"),"UNKNOWN OUTCOME",IF(OR(NOT(ISNUMBER(E242)),E242&lt;0,G242&lt;&gt;"YES"),"INCOMPLETE FEES","OK"))))))</f>
        <v/>
      </c>
      <c r="J242" s="1"/>
      <c r="K242" s="1"/>
      <c r="L242" s="1"/>
      <c r="M242" s="1"/>
      <c r="N242" s="1"/>
      <c r="O242" s="1"/>
    </row>
    <row r="243" spans="1:15" ht="32" customHeight="1">
      <c r="A243" s="4"/>
      <c r="B243" s="4"/>
      <c r="C243" s="6"/>
      <c r="D243" s="4"/>
      <c r="E243" s="12"/>
      <c r="F243" s="6"/>
      <c r="G243" s="4"/>
      <c r="H243" s="14"/>
      <c r="I243" s="11" t="str">
        <f>IF(A243="",IF(COUNTA(B243:H243)&gt;0,"MISSING ID",""),IF(COUNTIFS($A$6:$A$305,A243,$B$6:$B$305,B243)&lt;&gt;1,"DUPLICATE CASE/STAGE",IF(AND(B243&lt;&gt;"INITIAL",B243&lt;&gt;"RECON",B243&lt;&gt;"HEARING"),"UNKNOWN STAGE",IF(OR(NOT(ISNUMBER(C243)),C243&gt;Assumptions!$B$5,NOT(ISNUMBER(F243)),F243&lt;C243,F243&gt;Assumptions!$B$5),"INVALID DATES",IF(AND(D243&lt;&gt;"FAVORABLE",D243&lt;&gt;"OTHER"),"UNKNOWN OUTCOME",IF(OR(NOT(ISNUMBER(E243)),E243&lt;0,G243&lt;&gt;"YES"),"INCOMPLETE FEES","OK"))))))</f>
        <v/>
      </c>
      <c r="J243" s="1"/>
      <c r="K243" s="1"/>
      <c r="L243" s="1"/>
      <c r="M243" s="1"/>
      <c r="N243" s="1"/>
      <c r="O243" s="1"/>
    </row>
    <row r="244" spans="1:15" ht="32" customHeight="1">
      <c r="A244" s="4"/>
      <c r="B244" s="4"/>
      <c r="C244" s="6"/>
      <c r="D244" s="4"/>
      <c r="E244" s="12"/>
      <c r="F244" s="6"/>
      <c r="G244" s="4"/>
      <c r="H244" s="14"/>
      <c r="I244" s="11" t="str">
        <f>IF(A244="",IF(COUNTA(B244:H244)&gt;0,"MISSING ID",""),IF(COUNTIFS($A$6:$A$305,A244,$B$6:$B$305,B244)&lt;&gt;1,"DUPLICATE CASE/STAGE",IF(AND(B244&lt;&gt;"INITIAL",B244&lt;&gt;"RECON",B244&lt;&gt;"HEARING"),"UNKNOWN STAGE",IF(OR(NOT(ISNUMBER(C244)),C244&gt;Assumptions!$B$5,NOT(ISNUMBER(F244)),F244&lt;C244,F244&gt;Assumptions!$B$5),"INVALID DATES",IF(AND(D244&lt;&gt;"FAVORABLE",D244&lt;&gt;"OTHER"),"UNKNOWN OUTCOME",IF(OR(NOT(ISNUMBER(E244)),E244&lt;0,G244&lt;&gt;"YES"),"INCOMPLETE FEES","OK"))))))</f>
        <v/>
      </c>
      <c r="J244" s="1"/>
      <c r="K244" s="1"/>
      <c r="L244" s="1"/>
      <c r="M244" s="1"/>
      <c r="N244" s="1"/>
      <c r="O244" s="1"/>
    </row>
    <row r="245" spans="1:15" ht="32" customHeight="1">
      <c r="A245" s="4"/>
      <c r="B245" s="4"/>
      <c r="C245" s="6"/>
      <c r="D245" s="4"/>
      <c r="E245" s="12"/>
      <c r="F245" s="6"/>
      <c r="G245" s="4"/>
      <c r="H245" s="14"/>
      <c r="I245" s="11" t="str">
        <f>IF(A245="",IF(COUNTA(B245:H245)&gt;0,"MISSING ID",""),IF(COUNTIFS($A$6:$A$305,A245,$B$6:$B$305,B245)&lt;&gt;1,"DUPLICATE CASE/STAGE",IF(AND(B245&lt;&gt;"INITIAL",B245&lt;&gt;"RECON",B245&lt;&gt;"HEARING"),"UNKNOWN STAGE",IF(OR(NOT(ISNUMBER(C245)),C245&gt;Assumptions!$B$5,NOT(ISNUMBER(F245)),F245&lt;C245,F245&gt;Assumptions!$B$5),"INVALID DATES",IF(AND(D245&lt;&gt;"FAVORABLE",D245&lt;&gt;"OTHER"),"UNKNOWN OUTCOME",IF(OR(NOT(ISNUMBER(E245)),E245&lt;0,G245&lt;&gt;"YES"),"INCOMPLETE FEES","OK"))))))</f>
        <v/>
      </c>
      <c r="J245" s="1"/>
      <c r="K245" s="1"/>
      <c r="L245" s="1"/>
      <c r="M245" s="1"/>
      <c r="N245" s="1"/>
      <c r="O245" s="1"/>
    </row>
    <row r="246" spans="1:15" ht="32" customHeight="1">
      <c r="A246" s="4"/>
      <c r="B246" s="4"/>
      <c r="C246" s="6"/>
      <c r="D246" s="4"/>
      <c r="E246" s="12"/>
      <c r="F246" s="6"/>
      <c r="G246" s="4"/>
      <c r="H246" s="14"/>
      <c r="I246" s="11" t="str">
        <f>IF(A246="",IF(COUNTA(B246:H246)&gt;0,"MISSING ID",""),IF(COUNTIFS($A$6:$A$305,A246,$B$6:$B$305,B246)&lt;&gt;1,"DUPLICATE CASE/STAGE",IF(AND(B246&lt;&gt;"INITIAL",B246&lt;&gt;"RECON",B246&lt;&gt;"HEARING"),"UNKNOWN STAGE",IF(OR(NOT(ISNUMBER(C246)),C246&gt;Assumptions!$B$5,NOT(ISNUMBER(F246)),F246&lt;C246,F246&gt;Assumptions!$B$5),"INVALID DATES",IF(AND(D246&lt;&gt;"FAVORABLE",D246&lt;&gt;"OTHER"),"UNKNOWN OUTCOME",IF(OR(NOT(ISNUMBER(E246)),E246&lt;0,G246&lt;&gt;"YES"),"INCOMPLETE FEES","OK"))))))</f>
        <v/>
      </c>
      <c r="J246" s="1"/>
      <c r="K246" s="1"/>
      <c r="L246" s="1"/>
      <c r="M246" s="1"/>
      <c r="N246" s="1"/>
      <c r="O246" s="1"/>
    </row>
    <row r="247" spans="1:15" ht="32" customHeight="1">
      <c r="A247" s="4"/>
      <c r="B247" s="4"/>
      <c r="C247" s="6"/>
      <c r="D247" s="4"/>
      <c r="E247" s="12"/>
      <c r="F247" s="6"/>
      <c r="G247" s="4"/>
      <c r="H247" s="14"/>
      <c r="I247" s="11" t="str">
        <f>IF(A247="",IF(COUNTA(B247:H247)&gt;0,"MISSING ID",""),IF(COUNTIFS($A$6:$A$305,A247,$B$6:$B$305,B247)&lt;&gt;1,"DUPLICATE CASE/STAGE",IF(AND(B247&lt;&gt;"INITIAL",B247&lt;&gt;"RECON",B247&lt;&gt;"HEARING"),"UNKNOWN STAGE",IF(OR(NOT(ISNUMBER(C247)),C247&gt;Assumptions!$B$5,NOT(ISNUMBER(F247)),F247&lt;C247,F247&gt;Assumptions!$B$5),"INVALID DATES",IF(AND(D247&lt;&gt;"FAVORABLE",D247&lt;&gt;"OTHER"),"UNKNOWN OUTCOME",IF(OR(NOT(ISNUMBER(E247)),E247&lt;0,G247&lt;&gt;"YES"),"INCOMPLETE FEES","OK"))))))</f>
        <v/>
      </c>
      <c r="J247" s="1"/>
      <c r="K247" s="1"/>
      <c r="L247" s="1"/>
      <c r="M247" s="1"/>
      <c r="N247" s="1"/>
      <c r="O247" s="1"/>
    </row>
    <row r="248" spans="1:15" ht="32" customHeight="1">
      <c r="A248" s="4"/>
      <c r="B248" s="4"/>
      <c r="C248" s="6"/>
      <c r="D248" s="4"/>
      <c r="E248" s="12"/>
      <c r="F248" s="6"/>
      <c r="G248" s="4"/>
      <c r="H248" s="14"/>
      <c r="I248" s="11" t="str">
        <f>IF(A248="",IF(COUNTA(B248:H248)&gt;0,"MISSING ID",""),IF(COUNTIFS($A$6:$A$305,A248,$B$6:$B$305,B248)&lt;&gt;1,"DUPLICATE CASE/STAGE",IF(AND(B248&lt;&gt;"INITIAL",B248&lt;&gt;"RECON",B248&lt;&gt;"HEARING"),"UNKNOWN STAGE",IF(OR(NOT(ISNUMBER(C248)),C248&gt;Assumptions!$B$5,NOT(ISNUMBER(F248)),F248&lt;C248,F248&gt;Assumptions!$B$5),"INVALID DATES",IF(AND(D248&lt;&gt;"FAVORABLE",D248&lt;&gt;"OTHER"),"UNKNOWN OUTCOME",IF(OR(NOT(ISNUMBER(E248)),E248&lt;0,G248&lt;&gt;"YES"),"INCOMPLETE FEES","OK"))))))</f>
        <v/>
      </c>
      <c r="J248" s="1"/>
      <c r="K248" s="1"/>
      <c r="L248" s="1"/>
      <c r="M248" s="1"/>
      <c r="N248" s="1"/>
      <c r="O248" s="1"/>
    </row>
    <row r="249" spans="1:15" ht="32" customHeight="1">
      <c r="A249" s="4"/>
      <c r="B249" s="4"/>
      <c r="C249" s="6"/>
      <c r="D249" s="4"/>
      <c r="E249" s="12"/>
      <c r="F249" s="6"/>
      <c r="G249" s="4"/>
      <c r="H249" s="14"/>
      <c r="I249" s="11" t="str">
        <f>IF(A249="",IF(COUNTA(B249:H249)&gt;0,"MISSING ID",""),IF(COUNTIFS($A$6:$A$305,A249,$B$6:$B$305,B249)&lt;&gt;1,"DUPLICATE CASE/STAGE",IF(AND(B249&lt;&gt;"INITIAL",B249&lt;&gt;"RECON",B249&lt;&gt;"HEARING"),"UNKNOWN STAGE",IF(OR(NOT(ISNUMBER(C249)),C249&gt;Assumptions!$B$5,NOT(ISNUMBER(F249)),F249&lt;C249,F249&gt;Assumptions!$B$5),"INVALID DATES",IF(AND(D249&lt;&gt;"FAVORABLE",D249&lt;&gt;"OTHER"),"UNKNOWN OUTCOME",IF(OR(NOT(ISNUMBER(E249)),E249&lt;0,G249&lt;&gt;"YES"),"INCOMPLETE FEES","OK"))))))</f>
        <v/>
      </c>
      <c r="J249" s="1"/>
      <c r="K249" s="1"/>
      <c r="L249" s="1"/>
      <c r="M249" s="1"/>
      <c r="N249" s="1"/>
      <c r="O249" s="1"/>
    </row>
    <row r="250" spans="1:15" ht="32" customHeight="1">
      <c r="A250" s="4"/>
      <c r="B250" s="4"/>
      <c r="C250" s="6"/>
      <c r="D250" s="4"/>
      <c r="E250" s="12"/>
      <c r="F250" s="6"/>
      <c r="G250" s="4"/>
      <c r="H250" s="14"/>
      <c r="I250" s="11" t="str">
        <f>IF(A250="",IF(COUNTA(B250:H250)&gt;0,"MISSING ID",""),IF(COUNTIFS($A$6:$A$305,A250,$B$6:$B$305,B250)&lt;&gt;1,"DUPLICATE CASE/STAGE",IF(AND(B250&lt;&gt;"INITIAL",B250&lt;&gt;"RECON",B250&lt;&gt;"HEARING"),"UNKNOWN STAGE",IF(OR(NOT(ISNUMBER(C250)),C250&gt;Assumptions!$B$5,NOT(ISNUMBER(F250)),F250&lt;C250,F250&gt;Assumptions!$B$5),"INVALID DATES",IF(AND(D250&lt;&gt;"FAVORABLE",D250&lt;&gt;"OTHER"),"UNKNOWN OUTCOME",IF(OR(NOT(ISNUMBER(E250)),E250&lt;0,G250&lt;&gt;"YES"),"INCOMPLETE FEES","OK"))))))</f>
        <v/>
      </c>
      <c r="J250" s="1"/>
      <c r="K250" s="1"/>
      <c r="L250" s="1"/>
      <c r="M250" s="1"/>
      <c r="N250" s="1"/>
      <c r="O250" s="1"/>
    </row>
    <row r="251" spans="1:15" ht="32" customHeight="1">
      <c r="A251" s="4"/>
      <c r="B251" s="4"/>
      <c r="C251" s="6"/>
      <c r="D251" s="4"/>
      <c r="E251" s="12"/>
      <c r="F251" s="6"/>
      <c r="G251" s="4"/>
      <c r="H251" s="14"/>
      <c r="I251" s="11" t="str">
        <f>IF(A251="",IF(COUNTA(B251:H251)&gt;0,"MISSING ID",""),IF(COUNTIFS($A$6:$A$305,A251,$B$6:$B$305,B251)&lt;&gt;1,"DUPLICATE CASE/STAGE",IF(AND(B251&lt;&gt;"INITIAL",B251&lt;&gt;"RECON",B251&lt;&gt;"HEARING"),"UNKNOWN STAGE",IF(OR(NOT(ISNUMBER(C251)),C251&gt;Assumptions!$B$5,NOT(ISNUMBER(F251)),F251&lt;C251,F251&gt;Assumptions!$B$5),"INVALID DATES",IF(AND(D251&lt;&gt;"FAVORABLE",D251&lt;&gt;"OTHER"),"UNKNOWN OUTCOME",IF(OR(NOT(ISNUMBER(E251)),E251&lt;0,G251&lt;&gt;"YES"),"INCOMPLETE FEES","OK"))))))</f>
        <v/>
      </c>
      <c r="J251" s="1"/>
      <c r="K251" s="1"/>
      <c r="L251" s="1"/>
      <c r="M251" s="1"/>
      <c r="N251" s="1"/>
      <c r="O251" s="1"/>
    </row>
    <row r="252" spans="1:15" ht="32" customHeight="1">
      <c r="A252" s="4"/>
      <c r="B252" s="4"/>
      <c r="C252" s="6"/>
      <c r="D252" s="4"/>
      <c r="E252" s="12"/>
      <c r="F252" s="6"/>
      <c r="G252" s="4"/>
      <c r="H252" s="14"/>
      <c r="I252" s="11" t="str">
        <f>IF(A252="",IF(COUNTA(B252:H252)&gt;0,"MISSING ID",""),IF(COUNTIFS($A$6:$A$305,A252,$B$6:$B$305,B252)&lt;&gt;1,"DUPLICATE CASE/STAGE",IF(AND(B252&lt;&gt;"INITIAL",B252&lt;&gt;"RECON",B252&lt;&gt;"HEARING"),"UNKNOWN STAGE",IF(OR(NOT(ISNUMBER(C252)),C252&gt;Assumptions!$B$5,NOT(ISNUMBER(F252)),F252&lt;C252,F252&gt;Assumptions!$B$5),"INVALID DATES",IF(AND(D252&lt;&gt;"FAVORABLE",D252&lt;&gt;"OTHER"),"UNKNOWN OUTCOME",IF(OR(NOT(ISNUMBER(E252)),E252&lt;0,G252&lt;&gt;"YES"),"INCOMPLETE FEES","OK"))))))</f>
        <v/>
      </c>
      <c r="J252" s="1"/>
      <c r="K252" s="1"/>
      <c r="L252" s="1"/>
      <c r="M252" s="1"/>
      <c r="N252" s="1"/>
      <c r="O252" s="1"/>
    </row>
    <row r="253" spans="1:15" ht="32" customHeight="1">
      <c r="A253" s="4"/>
      <c r="B253" s="4"/>
      <c r="C253" s="6"/>
      <c r="D253" s="4"/>
      <c r="E253" s="12"/>
      <c r="F253" s="6"/>
      <c r="G253" s="4"/>
      <c r="H253" s="14"/>
      <c r="I253" s="11" t="str">
        <f>IF(A253="",IF(COUNTA(B253:H253)&gt;0,"MISSING ID",""),IF(COUNTIFS($A$6:$A$305,A253,$B$6:$B$305,B253)&lt;&gt;1,"DUPLICATE CASE/STAGE",IF(AND(B253&lt;&gt;"INITIAL",B253&lt;&gt;"RECON",B253&lt;&gt;"HEARING"),"UNKNOWN STAGE",IF(OR(NOT(ISNUMBER(C253)),C253&gt;Assumptions!$B$5,NOT(ISNUMBER(F253)),F253&lt;C253,F253&gt;Assumptions!$B$5),"INVALID DATES",IF(AND(D253&lt;&gt;"FAVORABLE",D253&lt;&gt;"OTHER"),"UNKNOWN OUTCOME",IF(OR(NOT(ISNUMBER(E253)),E253&lt;0,G253&lt;&gt;"YES"),"INCOMPLETE FEES","OK"))))))</f>
        <v/>
      </c>
      <c r="J253" s="1"/>
      <c r="K253" s="1"/>
      <c r="L253" s="1"/>
      <c r="M253" s="1"/>
      <c r="N253" s="1"/>
      <c r="O253" s="1"/>
    </row>
    <row r="254" spans="1:15" ht="32" customHeight="1">
      <c r="A254" s="4"/>
      <c r="B254" s="4"/>
      <c r="C254" s="6"/>
      <c r="D254" s="4"/>
      <c r="E254" s="12"/>
      <c r="F254" s="6"/>
      <c r="G254" s="4"/>
      <c r="H254" s="14"/>
      <c r="I254" s="11" t="str">
        <f>IF(A254="",IF(COUNTA(B254:H254)&gt;0,"MISSING ID",""),IF(COUNTIFS($A$6:$A$305,A254,$B$6:$B$305,B254)&lt;&gt;1,"DUPLICATE CASE/STAGE",IF(AND(B254&lt;&gt;"INITIAL",B254&lt;&gt;"RECON",B254&lt;&gt;"HEARING"),"UNKNOWN STAGE",IF(OR(NOT(ISNUMBER(C254)),C254&gt;Assumptions!$B$5,NOT(ISNUMBER(F254)),F254&lt;C254,F254&gt;Assumptions!$B$5),"INVALID DATES",IF(AND(D254&lt;&gt;"FAVORABLE",D254&lt;&gt;"OTHER"),"UNKNOWN OUTCOME",IF(OR(NOT(ISNUMBER(E254)),E254&lt;0,G254&lt;&gt;"YES"),"INCOMPLETE FEES","OK"))))))</f>
        <v/>
      </c>
      <c r="J254" s="1"/>
      <c r="K254" s="1"/>
      <c r="L254" s="1"/>
      <c r="M254" s="1"/>
      <c r="N254" s="1"/>
      <c r="O254" s="1"/>
    </row>
    <row r="255" spans="1:15" ht="32" customHeight="1">
      <c r="A255" s="4"/>
      <c r="B255" s="4"/>
      <c r="C255" s="6"/>
      <c r="D255" s="4"/>
      <c r="E255" s="12"/>
      <c r="F255" s="6"/>
      <c r="G255" s="4"/>
      <c r="H255" s="14"/>
      <c r="I255" s="11" t="str">
        <f>IF(A255="",IF(COUNTA(B255:H255)&gt;0,"MISSING ID",""),IF(COUNTIFS($A$6:$A$305,A255,$B$6:$B$305,B255)&lt;&gt;1,"DUPLICATE CASE/STAGE",IF(AND(B255&lt;&gt;"INITIAL",B255&lt;&gt;"RECON",B255&lt;&gt;"HEARING"),"UNKNOWN STAGE",IF(OR(NOT(ISNUMBER(C255)),C255&gt;Assumptions!$B$5,NOT(ISNUMBER(F255)),F255&lt;C255,F255&gt;Assumptions!$B$5),"INVALID DATES",IF(AND(D255&lt;&gt;"FAVORABLE",D255&lt;&gt;"OTHER"),"UNKNOWN OUTCOME",IF(OR(NOT(ISNUMBER(E255)),E255&lt;0,G255&lt;&gt;"YES"),"INCOMPLETE FEES","OK"))))))</f>
        <v/>
      </c>
      <c r="J255" s="1"/>
      <c r="K255" s="1"/>
      <c r="L255" s="1"/>
      <c r="M255" s="1"/>
      <c r="N255" s="1"/>
      <c r="O255" s="1"/>
    </row>
    <row r="256" spans="1:15" ht="32" customHeight="1">
      <c r="A256" s="4"/>
      <c r="B256" s="4"/>
      <c r="C256" s="6"/>
      <c r="D256" s="4"/>
      <c r="E256" s="12"/>
      <c r="F256" s="6"/>
      <c r="G256" s="4"/>
      <c r="H256" s="14"/>
      <c r="I256" s="11" t="str">
        <f>IF(A256="",IF(COUNTA(B256:H256)&gt;0,"MISSING ID",""),IF(COUNTIFS($A$6:$A$305,A256,$B$6:$B$305,B256)&lt;&gt;1,"DUPLICATE CASE/STAGE",IF(AND(B256&lt;&gt;"INITIAL",B256&lt;&gt;"RECON",B256&lt;&gt;"HEARING"),"UNKNOWN STAGE",IF(OR(NOT(ISNUMBER(C256)),C256&gt;Assumptions!$B$5,NOT(ISNUMBER(F256)),F256&lt;C256,F256&gt;Assumptions!$B$5),"INVALID DATES",IF(AND(D256&lt;&gt;"FAVORABLE",D256&lt;&gt;"OTHER"),"UNKNOWN OUTCOME",IF(OR(NOT(ISNUMBER(E256)),E256&lt;0,G256&lt;&gt;"YES"),"INCOMPLETE FEES","OK"))))))</f>
        <v/>
      </c>
      <c r="J256" s="1"/>
      <c r="K256" s="1"/>
      <c r="L256" s="1"/>
      <c r="M256" s="1"/>
      <c r="N256" s="1"/>
      <c r="O256" s="1"/>
    </row>
    <row r="257" spans="1:15" ht="32" customHeight="1">
      <c r="A257" s="4"/>
      <c r="B257" s="4"/>
      <c r="C257" s="6"/>
      <c r="D257" s="4"/>
      <c r="E257" s="12"/>
      <c r="F257" s="6"/>
      <c r="G257" s="4"/>
      <c r="H257" s="14"/>
      <c r="I257" s="11" t="str">
        <f>IF(A257="",IF(COUNTA(B257:H257)&gt;0,"MISSING ID",""),IF(COUNTIFS($A$6:$A$305,A257,$B$6:$B$305,B257)&lt;&gt;1,"DUPLICATE CASE/STAGE",IF(AND(B257&lt;&gt;"INITIAL",B257&lt;&gt;"RECON",B257&lt;&gt;"HEARING"),"UNKNOWN STAGE",IF(OR(NOT(ISNUMBER(C257)),C257&gt;Assumptions!$B$5,NOT(ISNUMBER(F257)),F257&lt;C257,F257&gt;Assumptions!$B$5),"INVALID DATES",IF(AND(D257&lt;&gt;"FAVORABLE",D257&lt;&gt;"OTHER"),"UNKNOWN OUTCOME",IF(OR(NOT(ISNUMBER(E257)),E257&lt;0,G257&lt;&gt;"YES"),"INCOMPLETE FEES","OK"))))))</f>
        <v/>
      </c>
      <c r="J257" s="1"/>
      <c r="K257" s="1"/>
      <c r="L257" s="1"/>
      <c r="M257" s="1"/>
      <c r="N257" s="1"/>
      <c r="O257" s="1"/>
    </row>
    <row r="258" spans="1:15" ht="32" customHeight="1">
      <c r="A258" s="4"/>
      <c r="B258" s="4"/>
      <c r="C258" s="6"/>
      <c r="D258" s="4"/>
      <c r="E258" s="12"/>
      <c r="F258" s="6"/>
      <c r="G258" s="4"/>
      <c r="H258" s="14"/>
      <c r="I258" s="11" t="str">
        <f>IF(A258="",IF(COUNTA(B258:H258)&gt;0,"MISSING ID",""),IF(COUNTIFS($A$6:$A$305,A258,$B$6:$B$305,B258)&lt;&gt;1,"DUPLICATE CASE/STAGE",IF(AND(B258&lt;&gt;"INITIAL",B258&lt;&gt;"RECON",B258&lt;&gt;"HEARING"),"UNKNOWN STAGE",IF(OR(NOT(ISNUMBER(C258)),C258&gt;Assumptions!$B$5,NOT(ISNUMBER(F258)),F258&lt;C258,F258&gt;Assumptions!$B$5),"INVALID DATES",IF(AND(D258&lt;&gt;"FAVORABLE",D258&lt;&gt;"OTHER"),"UNKNOWN OUTCOME",IF(OR(NOT(ISNUMBER(E258)),E258&lt;0,G258&lt;&gt;"YES"),"INCOMPLETE FEES","OK"))))))</f>
        <v/>
      </c>
      <c r="J258" s="1"/>
      <c r="K258" s="1"/>
      <c r="L258" s="1"/>
      <c r="M258" s="1"/>
      <c r="N258" s="1"/>
      <c r="O258" s="1"/>
    </row>
    <row r="259" spans="1:15" ht="32" customHeight="1">
      <c r="A259" s="4"/>
      <c r="B259" s="4"/>
      <c r="C259" s="6"/>
      <c r="D259" s="4"/>
      <c r="E259" s="12"/>
      <c r="F259" s="6"/>
      <c r="G259" s="4"/>
      <c r="H259" s="14"/>
      <c r="I259" s="11" t="str">
        <f>IF(A259="",IF(COUNTA(B259:H259)&gt;0,"MISSING ID",""),IF(COUNTIFS($A$6:$A$305,A259,$B$6:$B$305,B259)&lt;&gt;1,"DUPLICATE CASE/STAGE",IF(AND(B259&lt;&gt;"INITIAL",B259&lt;&gt;"RECON",B259&lt;&gt;"HEARING"),"UNKNOWN STAGE",IF(OR(NOT(ISNUMBER(C259)),C259&gt;Assumptions!$B$5,NOT(ISNUMBER(F259)),F259&lt;C259,F259&gt;Assumptions!$B$5),"INVALID DATES",IF(AND(D259&lt;&gt;"FAVORABLE",D259&lt;&gt;"OTHER"),"UNKNOWN OUTCOME",IF(OR(NOT(ISNUMBER(E259)),E259&lt;0,G259&lt;&gt;"YES"),"INCOMPLETE FEES","OK"))))))</f>
        <v/>
      </c>
      <c r="J259" s="1"/>
      <c r="K259" s="1"/>
      <c r="L259" s="1"/>
      <c r="M259" s="1"/>
      <c r="N259" s="1"/>
      <c r="O259" s="1"/>
    </row>
    <row r="260" spans="1:15" ht="32" customHeight="1">
      <c r="A260" s="4"/>
      <c r="B260" s="4"/>
      <c r="C260" s="6"/>
      <c r="D260" s="4"/>
      <c r="E260" s="12"/>
      <c r="F260" s="6"/>
      <c r="G260" s="4"/>
      <c r="H260" s="14"/>
      <c r="I260" s="11" t="str">
        <f>IF(A260="",IF(COUNTA(B260:H260)&gt;0,"MISSING ID",""),IF(COUNTIFS($A$6:$A$305,A260,$B$6:$B$305,B260)&lt;&gt;1,"DUPLICATE CASE/STAGE",IF(AND(B260&lt;&gt;"INITIAL",B260&lt;&gt;"RECON",B260&lt;&gt;"HEARING"),"UNKNOWN STAGE",IF(OR(NOT(ISNUMBER(C260)),C260&gt;Assumptions!$B$5,NOT(ISNUMBER(F260)),F260&lt;C260,F260&gt;Assumptions!$B$5),"INVALID DATES",IF(AND(D260&lt;&gt;"FAVORABLE",D260&lt;&gt;"OTHER"),"UNKNOWN OUTCOME",IF(OR(NOT(ISNUMBER(E260)),E260&lt;0,G260&lt;&gt;"YES"),"INCOMPLETE FEES","OK"))))))</f>
        <v/>
      </c>
      <c r="J260" s="1"/>
      <c r="K260" s="1"/>
      <c r="L260" s="1"/>
      <c r="M260" s="1"/>
      <c r="N260" s="1"/>
      <c r="O260" s="1"/>
    </row>
    <row r="261" spans="1:15" ht="32" customHeight="1">
      <c r="A261" s="4"/>
      <c r="B261" s="4"/>
      <c r="C261" s="6"/>
      <c r="D261" s="4"/>
      <c r="E261" s="12"/>
      <c r="F261" s="6"/>
      <c r="G261" s="4"/>
      <c r="H261" s="14"/>
      <c r="I261" s="11" t="str">
        <f>IF(A261="",IF(COUNTA(B261:H261)&gt;0,"MISSING ID",""),IF(COUNTIFS($A$6:$A$305,A261,$B$6:$B$305,B261)&lt;&gt;1,"DUPLICATE CASE/STAGE",IF(AND(B261&lt;&gt;"INITIAL",B261&lt;&gt;"RECON",B261&lt;&gt;"HEARING"),"UNKNOWN STAGE",IF(OR(NOT(ISNUMBER(C261)),C261&gt;Assumptions!$B$5,NOT(ISNUMBER(F261)),F261&lt;C261,F261&gt;Assumptions!$B$5),"INVALID DATES",IF(AND(D261&lt;&gt;"FAVORABLE",D261&lt;&gt;"OTHER"),"UNKNOWN OUTCOME",IF(OR(NOT(ISNUMBER(E261)),E261&lt;0,G261&lt;&gt;"YES"),"INCOMPLETE FEES","OK"))))))</f>
        <v/>
      </c>
      <c r="J261" s="1"/>
      <c r="K261" s="1"/>
      <c r="L261" s="1"/>
      <c r="M261" s="1"/>
      <c r="N261" s="1"/>
      <c r="O261" s="1"/>
    </row>
    <row r="262" spans="1:15" ht="32" customHeight="1">
      <c r="A262" s="4"/>
      <c r="B262" s="4"/>
      <c r="C262" s="6"/>
      <c r="D262" s="4"/>
      <c r="E262" s="12"/>
      <c r="F262" s="6"/>
      <c r="G262" s="4"/>
      <c r="H262" s="14"/>
      <c r="I262" s="11" t="str">
        <f>IF(A262="",IF(COUNTA(B262:H262)&gt;0,"MISSING ID",""),IF(COUNTIFS($A$6:$A$305,A262,$B$6:$B$305,B262)&lt;&gt;1,"DUPLICATE CASE/STAGE",IF(AND(B262&lt;&gt;"INITIAL",B262&lt;&gt;"RECON",B262&lt;&gt;"HEARING"),"UNKNOWN STAGE",IF(OR(NOT(ISNUMBER(C262)),C262&gt;Assumptions!$B$5,NOT(ISNUMBER(F262)),F262&lt;C262,F262&gt;Assumptions!$B$5),"INVALID DATES",IF(AND(D262&lt;&gt;"FAVORABLE",D262&lt;&gt;"OTHER"),"UNKNOWN OUTCOME",IF(OR(NOT(ISNUMBER(E262)),E262&lt;0,G262&lt;&gt;"YES"),"INCOMPLETE FEES","OK"))))))</f>
        <v/>
      </c>
      <c r="J262" s="1"/>
      <c r="K262" s="1"/>
      <c r="L262" s="1"/>
      <c r="M262" s="1"/>
      <c r="N262" s="1"/>
      <c r="O262" s="1"/>
    </row>
    <row r="263" spans="1:15" ht="32" customHeight="1">
      <c r="A263" s="4"/>
      <c r="B263" s="4"/>
      <c r="C263" s="6"/>
      <c r="D263" s="4"/>
      <c r="E263" s="12"/>
      <c r="F263" s="6"/>
      <c r="G263" s="4"/>
      <c r="H263" s="14"/>
      <c r="I263" s="11" t="str">
        <f>IF(A263="",IF(COUNTA(B263:H263)&gt;0,"MISSING ID",""),IF(COUNTIFS($A$6:$A$305,A263,$B$6:$B$305,B263)&lt;&gt;1,"DUPLICATE CASE/STAGE",IF(AND(B263&lt;&gt;"INITIAL",B263&lt;&gt;"RECON",B263&lt;&gt;"HEARING"),"UNKNOWN STAGE",IF(OR(NOT(ISNUMBER(C263)),C263&gt;Assumptions!$B$5,NOT(ISNUMBER(F263)),F263&lt;C263,F263&gt;Assumptions!$B$5),"INVALID DATES",IF(AND(D263&lt;&gt;"FAVORABLE",D263&lt;&gt;"OTHER"),"UNKNOWN OUTCOME",IF(OR(NOT(ISNUMBER(E263)),E263&lt;0,G263&lt;&gt;"YES"),"INCOMPLETE FEES","OK"))))))</f>
        <v/>
      </c>
      <c r="J263" s="1"/>
      <c r="K263" s="1"/>
      <c r="L263" s="1"/>
      <c r="M263" s="1"/>
      <c r="N263" s="1"/>
      <c r="O263" s="1"/>
    </row>
    <row r="264" spans="1:15" ht="32" customHeight="1">
      <c r="A264" s="4"/>
      <c r="B264" s="4"/>
      <c r="C264" s="6"/>
      <c r="D264" s="4"/>
      <c r="E264" s="12"/>
      <c r="F264" s="6"/>
      <c r="G264" s="4"/>
      <c r="H264" s="14"/>
      <c r="I264" s="11" t="str">
        <f>IF(A264="",IF(COUNTA(B264:H264)&gt;0,"MISSING ID",""),IF(COUNTIFS($A$6:$A$305,A264,$B$6:$B$305,B264)&lt;&gt;1,"DUPLICATE CASE/STAGE",IF(AND(B264&lt;&gt;"INITIAL",B264&lt;&gt;"RECON",B264&lt;&gt;"HEARING"),"UNKNOWN STAGE",IF(OR(NOT(ISNUMBER(C264)),C264&gt;Assumptions!$B$5,NOT(ISNUMBER(F264)),F264&lt;C264,F264&gt;Assumptions!$B$5),"INVALID DATES",IF(AND(D264&lt;&gt;"FAVORABLE",D264&lt;&gt;"OTHER"),"UNKNOWN OUTCOME",IF(OR(NOT(ISNUMBER(E264)),E264&lt;0,G264&lt;&gt;"YES"),"INCOMPLETE FEES","OK"))))))</f>
        <v/>
      </c>
      <c r="J264" s="1"/>
      <c r="K264" s="1"/>
      <c r="L264" s="1"/>
      <c r="M264" s="1"/>
      <c r="N264" s="1"/>
      <c r="O264" s="1"/>
    </row>
    <row r="265" spans="1:15" ht="32" customHeight="1">
      <c r="A265" s="4"/>
      <c r="B265" s="4"/>
      <c r="C265" s="6"/>
      <c r="D265" s="4"/>
      <c r="E265" s="12"/>
      <c r="F265" s="6"/>
      <c r="G265" s="4"/>
      <c r="H265" s="14"/>
      <c r="I265" s="11" t="str">
        <f>IF(A265="",IF(COUNTA(B265:H265)&gt;0,"MISSING ID",""),IF(COUNTIFS($A$6:$A$305,A265,$B$6:$B$305,B265)&lt;&gt;1,"DUPLICATE CASE/STAGE",IF(AND(B265&lt;&gt;"INITIAL",B265&lt;&gt;"RECON",B265&lt;&gt;"HEARING"),"UNKNOWN STAGE",IF(OR(NOT(ISNUMBER(C265)),C265&gt;Assumptions!$B$5,NOT(ISNUMBER(F265)),F265&lt;C265,F265&gt;Assumptions!$B$5),"INVALID DATES",IF(AND(D265&lt;&gt;"FAVORABLE",D265&lt;&gt;"OTHER"),"UNKNOWN OUTCOME",IF(OR(NOT(ISNUMBER(E265)),E265&lt;0,G265&lt;&gt;"YES"),"INCOMPLETE FEES","OK"))))))</f>
        <v/>
      </c>
      <c r="J265" s="1"/>
      <c r="K265" s="1"/>
      <c r="L265" s="1"/>
      <c r="M265" s="1"/>
      <c r="N265" s="1"/>
      <c r="O265" s="1"/>
    </row>
    <row r="266" spans="1:15" ht="32" customHeight="1">
      <c r="A266" s="4"/>
      <c r="B266" s="4"/>
      <c r="C266" s="6"/>
      <c r="D266" s="4"/>
      <c r="E266" s="12"/>
      <c r="F266" s="6"/>
      <c r="G266" s="4"/>
      <c r="H266" s="14"/>
      <c r="I266" s="11" t="str">
        <f>IF(A266="",IF(COUNTA(B266:H266)&gt;0,"MISSING ID",""),IF(COUNTIFS($A$6:$A$305,A266,$B$6:$B$305,B266)&lt;&gt;1,"DUPLICATE CASE/STAGE",IF(AND(B266&lt;&gt;"INITIAL",B266&lt;&gt;"RECON",B266&lt;&gt;"HEARING"),"UNKNOWN STAGE",IF(OR(NOT(ISNUMBER(C266)),C266&gt;Assumptions!$B$5,NOT(ISNUMBER(F266)),F266&lt;C266,F266&gt;Assumptions!$B$5),"INVALID DATES",IF(AND(D266&lt;&gt;"FAVORABLE",D266&lt;&gt;"OTHER"),"UNKNOWN OUTCOME",IF(OR(NOT(ISNUMBER(E266)),E266&lt;0,G266&lt;&gt;"YES"),"INCOMPLETE FEES","OK"))))))</f>
        <v/>
      </c>
      <c r="J266" s="1"/>
      <c r="K266" s="1"/>
      <c r="L266" s="1"/>
      <c r="M266" s="1"/>
      <c r="N266" s="1"/>
      <c r="O266" s="1"/>
    </row>
    <row r="267" spans="1:15" ht="32" customHeight="1">
      <c r="A267" s="4"/>
      <c r="B267" s="4"/>
      <c r="C267" s="6"/>
      <c r="D267" s="4"/>
      <c r="E267" s="12"/>
      <c r="F267" s="6"/>
      <c r="G267" s="4"/>
      <c r="H267" s="14"/>
      <c r="I267" s="11" t="str">
        <f>IF(A267="",IF(COUNTA(B267:H267)&gt;0,"MISSING ID",""),IF(COUNTIFS($A$6:$A$305,A267,$B$6:$B$305,B267)&lt;&gt;1,"DUPLICATE CASE/STAGE",IF(AND(B267&lt;&gt;"INITIAL",B267&lt;&gt;"RECON",B267&lt;&gt;"HEARING"),"UNKNOWN STAGE",IF(OR(NOT(ISNUMBER(C267)),C267&gt;Assumptions!$B$5,NOT(ISNUMBER(F267)),F267&lt;C267,F267&gt;Assumptions!$B$5),"INVALID DATES",IF(AND(D267&lt;&gt;"FAVORABLE",D267&lt;&gt;"OTHER"),"UNKNOWN OUTCOME",IF(OR(NOT(ISNUMBER(E267)),E267&lt;0,G267&lt;&gt;"YES"),"INCOMPLETE FEES","OK"))))))</f>
        <v/>
      </c>
      <c r="J267" s="1"/>
      <c r="K267" s="1"/>
      <c r="L267" s="1"/>
      <c r="M267" s="1"/>
      <c r="N267" s="1"/>
      <c r="O267" s="1"/>
    </row>
    <row r="268" spans="1:15" ht="32" customHeight="1">
      <c r="A268" s="4"/>
      <c r="B268" s="4"/>
      <c r="C268" s="6"/>
      <c r="D268" s="4"/>
      <c r="E268" s="12"/>
      <c r="F268" s="6"/>
      <c r="G268" s="4"/>
      <c r="H268" s="14"/>
      <c r="I268" s="11" t="str">
        <f>IF(A268="",IF(COUNTA(B268:H268)&gt;0,"MISSING ID",""),IF(COUNTIFS($A$6:$A$305,A268,$B$6:$B$305,B268)&lt;&gt;1,"DUPLICATE CASE/STAGE",IF(AND(B268&lt;&gt;"INITIAL",B268&lt;&gt;"RECON",B268&lt;&gt;"HEARING"),"UNKNOWN STAGE",IF(OR(NOT(ISNUMBER(C268)),C268&gt;Assumptions!$B$5,NOT(ISNUMBER(F268)),F268&lt;C268,F268&gt;Assumptions!$B$5),"INVALID DATES",IF(AND(D268&lt;&gt;"FAVORABLE",D268&lt;&gt;"OTHER"),"UNKNOWN OUTCOME",IF(OR(NOT(ISNUMBER(E268)),E268&lt;0,G268&lt;&gt;"YES"),"INCOMPLETE FEES","OK"))))))</f>
        <v/>
      </c>
      <c r="J268" s="1"/>
      <c r="K268" s="1"/>
      <c r="L268" s="1"/>
      <c r="M268" s="1"/>
      <c r="N268" s="1"/>
      <c r="O268" s="1"/>
    </row>
    <row r="269" spans="1:15" ht="32" customHeight="1">
      <c r="A269" s="4"/>
      <c r="B269" s="4"/>
      <c r="C269" s="6"/>
      <c r="D269" s="4"/>
      <c r="E269" s="12"/>
      <c r="F269" s="6"/>
      <c r="G269" s="4"/>
      <c r="H269" s="14"/>
      <c r="I269" s="11" t="str">
        <f>IF(A269="",IF(COUNTA(B269:H269)&gt;0,"MISSING ID",""),IF(COUNTIFS($A$6:$A$305,A269,$B$6:$B$305,B269)&lt;&gt;1,"DUPLICATE CASE/STAGE",IF(AND(B269&lt;&gt;"INITIAL",B269&lt;&gt;"RECON",B269&lt;&gt;"HEARING"),"UNKNOWN STAGE",IF(OR(NOT(ISNUMBER(C269)),C269&gt;Assumptions!$B$5,NOT(ISNUMBER(F269)),F269&lt;C269,F269&gt;Assumptions!$B$5),"INVALID DATES",IF(AND(D269&lt;&gt;"FAVORABLE",D269&lt;&gt;"OTHER"),"UNKNOWN OUTCOME",IF(OR(NOT(ISNUMBER(E269)),E269&lt;0,G269&lt;&gt;"YES"),"INCOMPLETE FEES","OK"))))))</f>
        <v/>
      </c>
      <c r="J269" s="1"/>
      <c r="K269" s="1"/>
      <c r="L269" s="1"/>
      <c r="M269" s="1"/>
      <c r="N269" s="1"/>
      <c r="O269" s="1"/>
    </row>
    <row r="270" spans="1:15" ht="32" customHeight="1">
      <c r="A270" s="4"/>
      <c r="B270" s="4"/>
      <c r="C270" s="6"/>
      <c r="D270" s="4"/>
      <c r="E270" s="12"/>
      <c r="F270" s="6"/>
      <c r="G270" s="4"/>
      <c r="H270" s="14"/>
      <c r="I270" s="11" t="str">
        <f>IF(A270="",IF(COUNTA(B270:H270)&gt;0,"MISSING ID",""),IF(COUNTIFS($A$6:$A$305,A270,$B$6:$B$305,B270)&lt;&gt;1,"DUPLICATE CASE/STAGE",IF(AND(B270&lt;&gt;"INITIAL",B270&lt;&gt;"RECON",B270&lt;&gt;"HEARING"),"UNKNOWN STAGE",IF(OR(NOT(ISNUMBER(C270)),C270&gt;Assumptions!$B$5,NOT(ISNUMBER(F270)),F270&lt;C270,F270&gt;Assumptions!$B$5),"INVALID DATES",IF(AND(D270&lt;&gt;"FAVORABLE",D270&lt;&gt;"OTHER"),"UNKNOWN OUTCOME",IF(OR(NOT(ISNUMBER(E270)),E270&lt;0,G270&lt;&gt;"YES"),"INCOMPLETE FEES","OK"))))))</f>
        <v/>
      </c>
      <c r="J270" s="1"/>
      <c r="K270" s="1"/>
      <c r="L270" s="1"/>
      <c r="M270" s="1"/>
      <c r="N270" s="1"/>
      <c r="O270" s="1"/>
    </row>
    <row r="271" spans="1:15" ht="32" customHeight="1">
      <c r="A271" s="4"/>
      <c r="B271" s="4"/>
      <c r="C271" s="6"/>
      <c r="D271" s="4"/>
      <c r="E271" s="12"/>
      <c r="F271" s="6"/>
      <c r="G271" s="4"/>
      <c r="H271" s="14"/>
      <c r="I271" s="11" t="str">
        <f>IF(A271="",IF(COUNTA(B271:H271)&gt;0,"MISSING ID",""),IF(COUNTIFS($A$6:$A$305,A271,$B$6:$B$305,B271)&lt;&gt;1,"DUPLICATE CASE/STAGE",IF(AND(B271&lt;&gt;"INITIAL",B271&lt;&gt;"RECON",B271&lt;&gt;"HEARING"),"UNKNOWN STAGE",IF(OR(NOT(ISNUMBER(C271)),C271&gt;Assumptions!$B$5,NOT(ISNUMBER(F271)),F271&lt;C271,F271&gt;Assumptions!$B$5),"INVALID DATES",IF(AND(D271&lt;&gt;"FAVORABLE",D271&lt;&gt;"OTHER"),"UNKNOWN OUTCOME",IF(OR(NOT(ISNUMBER(E271)),E271&lt;0,G271&lt;&gt;"YES"),"INCOMPLETE FEES","OK"))))))</f>
        <v/>
      </c>
      <c r="J271" s="1"/>
      <c r="K271" s="1"/>
      <c r="L271" s="1"/>
      <c r="M271" s="1"/>
      <c r="N271" s="1"/>
      <c r="O271" s="1"/>
    </row>
    <row r="272" spans="1:15" ht="32" customHeight="1">
      <c r="A272" s="4"/>
      <c r="B272" s="4"/>
      <c r="C272" s="6"/>
      <c r="D272" s="4"/>
      <c r="E272" s="12"/>
      <c r="F272" s="6"/>
      <c r="G272" s="4"/>
      <c r="H272" s="14"/>
      <c r="I272" s="11" t="str">
        <f>IF(A272="",IF(COUNTA(B272:H272)&gt;0,"MISSING ID",""),IF(COUNTIFS($A$6:$A$305,A272,$B$6:$B$305,B272)&lt;&gt;1,"DUPLICATE CASE/STAGE",IF(AND(B272&lt;&gt;"INITIAL",B272&lt;&gt;"RECON",B272&lt;&gt;"HEARING"),"UNKNOWN STAGE",IF(OR(NOT(ISNUMBER(C272)),C272&gt;Assumptions!$B$5,NOT(ISNUMBER(F272)),F272&lt;C272,F272&gt;Assumptions!$B$5),"INVALID DATES",IF(AND(D272&lt;&gt;"FAVORABLE",D272&lt;&gt;"OTHER"),"UNKNOWN OUTCOME",IF(OR(NOT(ISNUMBER(E272)),E272&lt;0,G272&lt;&gt;"YES"),"INCOMPLETE FEES","OK"))))))</f>
        <v/>
      </c>
      <c r="J272" s="1"/>
      <c r="K272" s="1"/>
      <c r="L272" s="1"/>
      <c r="M272" s="1"/>
      <c r="N272" s="1"/>
      <c r="O272" s="1"/>
    </row>
    <row r="273" spans="1:15" ht="32" customHeight="1">
      <c r="A273" s="4"/>
      <c r="B273" s="4"/>
      <c r="C273" s="6"/>
      <c r="D273" s="4"/>
      <c r="E273" s="12"/>
      <c r="F273" s="6"/>
      <c r="G273" s="4"/>
      <c r="H273" s="14"/>
      <c r="I273" s="11" t="str">
        <f>IF(A273="",IF(COUNTA(B273:H273)&gt;0,"MISSING ID",""),IF(COUNTIFS($A$6:$A$305,A273,$B$6:$B$305,B273)&lt;&gt;1,"DUPLICATE CASE/STAGE",IF(AND(B273&lt;&gt;"INITIAL",B273&lt;&gt;"RECON",B273&lt;&gt;"HEARING"),"UNKNOWN STAGE",IF(OR(NOT(ISNUMBER(C273)),C273&gt;Assumptions!$B$5,NOT(ISNUMBER(F273)),F273&lt;C273,F273&gt;Assumptions!$B$5),"INVALID DATES",IF(AND(D273&lt;&gt;"FAVORABLE",D273&lt;&gt;"OTHER"),"UNKNOWN OUTCOME",IF(OR(NOT(ISNUMBER(E273)),E273&lt;0,G273&lt;&gt;"YES"),"INCOMPLETE FEES","OK"))))))</f>
        <v/>
      </c>
      <c r="J273" s="1"/>
      <c r="K273" s="1"/>
      <c r="L273" s="1"/>
      <c r="M273" s="1"/>
      <c r="N273" s="1"/>
      <c r="O273" s="1"/>
    </row>
    <row r="274" spans="1:15" ht="32" customHeight="1">
      <c r="A274" s="4"/>
      <c r="B274" s="4"/>
      <c r="C274" s="6"/>
      <c r="D274" s="4"/>
      <c r="E274" s="12"/>
      <c r="F274" s="6"/>
      <c r="G274" s="4"/>
      <c r="H274" s="14"/>
      <c r="I274" s="11" t="str">
        <f>IF(A274="",IF(COUNTA(B274:H274)&gt;0,"MISSING ID",""),IF(COUNTIFS($A$6:$A$305,A274,$B$6:$B$305,B274)&lt;&gt;1,"DUPLICATE CASE/STAGE",IF(AND(B274&lt;&gt;"INITIAL",B274&lt;&gt;"RECON",B274&lt;&gt;"HEARING"),"UNKNOWN STAGE",IF(OR(NOT(ISNUMBER(C274)),C274&gt;Assumptions!$B$5,NOT(ISNUMBER(F274)),F274&lt;C274,F274&gt;Assumptions!$B$5),"INVALID DATES",IF(AND(D274&lt;&gt;"FAVORABLE",D274&lt;&gt;"OTHER"),"UNKNOWN OUTCOME",IF(OR(NOT(ISNUMBER(E274)),E274&lt;0,G274&lt;&gt;"YES"),"INCOMPLETE FEES","OK"))))))</f>
        <v/>
      </c>
      <c r="J274" s="1"/>
      <c r="K274" s="1"/>
      <c r="L274" s="1"/>
      <c r="M274" s="1"/>
      <c r="N274" s="1"/>
      <c r="O274" s="1"/>
    </row>
    <row r="275" spans="1:15" ht="32" customHeight="1">
      <c r="A275" s="4"/>
      <c r="B275" s="4"/>
      <c r="C275" s="6"/>
      <c r="D275" s="4"/>
      <c r="E275" s="12"/>
      <c r="F275" s="6"/>
      <c r="G275" s="4"/>
      <c r="H275" s="14"/>
      <c r="I275" s="11" t="str">
        <f>IF(A275="",IF(COUNTA(B275:H275)&gt;0,"MISSING ID",""),IF(COUNTIFS($A$6:$A$305,A275,$B$6:$B$305,B275)&lt;&gt;1,"DUPLICATE CASE/STAGE",IF(AND(B275&lt;&gt;"INITIAL",B275&lt;&gt;"RECON",B275&lt;&gt;"HEARING"),"UNKNOWN STAGE",IF(OR(NOT(ISNUMBER(C275)),C275&gt;Assumptions!$B$5,NOT(ISNUMBER(F275)),F275&lt;C275,F275&gt;Assumptions!$B$5),"INVALID DATES",IF(AND(D275&lt;&gt;"FAVORABLE",D275&lt;&gt;"OTHER"),"UNKNOWN OUTCOME",IF(OR(NOT(ISNUMBER(E275)),E275&lt;0,G275&lt;&gt;"YES"),"INCOMPLETE FEES","OK"))))))</f>
        <v/>
      </c>
      <c r="J275" s="1"/>
      <c r="K275" s="1"/>
      <c r="L275" s="1"/>
      <c r="M275" s="1"/>
      <c r="N275" s="1"/>
      <c r="O275" s="1"/>
    </row>
    <row r="276" spans="1:15" ht="32" customHeight="1">
      <c r="A276" s="4"/>
      <c r="B276" s="4"/>
      <c r="C276" s="6"/>
      <c r="D276" s="4"/>
      <c r="E276" s="12"/>
      <c r="F276" s="6"/>
      <c r="G276" s="4"/>
      <c r="H276" s="14"/>
      <c r="I276" s="11" t="str">
        <f>IF(A276="",IF(COUNTA(B276:H276)&gt;0,"MISSING ID",""),IF(COUNTIFS($A$6:$A$305,A276,$B$6:$B$305,B276)&lt;&gt;1,"DUPLICATE CASE/STAGE",IF(AND(B276&lt;&gt;"INITIAL",B276&lt;&gt;"RECON",B276&lt;&gt;"HEARING"),"UNKNOWN STAGE",IF(OR(NOT(ISNUMBER(C276)),C276&gt;Assumptions!$B$5,NOT(ISNUMBER(F276)),F276&lt;C276,F276&gt;Assumptions!$B$5),"INVALID DATES",IF(AND(D276&lt;&gt;"FAVORABLE",D276&lt;&gt;"OTHER"),"UNKNOWN OUTCOME",IF(OR(NOT(ISNUMBER(E276)),E276&lt;0,G276&lt;&gt;"YES"),"INCOMPLETE FEES","OK"))))))</f>
        <v/>
      </c>
      <c r="J276" s="1"/>
      <c r="K276" s="1"/>
      <c r="L276" s="1"/>
      <c r="M276" s="1"/>
      <c r="N276" s="1"/>
      <c r="O276" s="1"/>
    </row>
    <row r="277" spans="1:15" ht="32" customHeight="1">
      <c r="A277" s="4"/>
      <c r="B277" s="4"/>
      <c r="C277" s="6"/>
      <c r="D277" s="4"/>
      <c r="E277" s="12"/>
      <c r="F277" s="6"/>
      <c r="G277" s="4"/>
      <c r="H277" s="14"/>
      <c r="I277" s="11" t="str">
        <f>IF(A277="",IF(COUNTA(B277:H277)&gt;0,"MISSING ID",""),IF(COUNTIFS($A$6:$A$305,A277,$B$6:$B$305,B277)&lt;&gt;1,"DUPLICATE CASE/STAGE",IF(AND(B277&lt;&gt;"INITIAL",B277&lt;&gt;"RECON",B277&lt;&gt;"HEARING"),"UNKNOWN STAGE",IF(OR(NOT(ISNUMBER(C277)),C277&gt;Assumptions!$B$5,NOT(ISNUMBER(F277)),F277&lt;C277,F277&gt;Assumptions!$B$5),"INVALID DATES",IF(AND(D277&lt;&gt;"FAVORABLE",D277&lt;&gt;"OTHER"),"UNKNOWN OUTCOME",IF(OR(NOT(ISNUMBER(E277)),E277&lt;0,G277&lt;&gt;"YES"),"INCOMPLETE FEES","OK"))))))</f>
        <v/>
      </c>
      <c r="J277" s="1"/>
      <c r="K277" s="1"/>
      <c r="L277" s="1"/>
      <c r="M277" s="1"/>
      <c r="N277" s="1"/>
      <c r="O277" s="1"/>
    </row>
    <row r="278" spans="1:15" ht="32" customHeight="1">
      <c r="A278" s="4"/>
      <c r="B278" s="4"/>
      <c r="C278" s="6"/>
      <c r="D278" s="4"/>
      <c r="E278" s="12"/>
      <c r="F278" s="6"/>
      <c r="G278" s="4"/>
      <c r="H278" s="14"/>
      <c r="I278" s="11" t="str">
        <f>IF(A278="",IF(COUNTA(B278:H278)&gt;0,"MISSING ID",""),IF(COUNTIFS($A$6:$A$305,A278,$B$6:$B$305,B278)&lt;&gt;1,"DUPLICATE CASE/STAGE",IF(AND(B278&lt;&gt;"INITIAL",B278&lt;&gt;"RECON",B278&lt;&gt;"HEARING"),"UNKNOWN STAGE",IF(OR(NOT(ISNUMBER(C278)),C278&gt;Assumptions!$B$5,NOT(ISNUMBER(F278)),F278&lt;C278,F278&gt;Assumptions!$B$5),"INVALID DATES",IF(AND(D278&lt;&gt;"FAVORABLE",D278&lt;&gt;"OTHER"),"UNKNOWN OUTCOME",IF(OR(NOT(ISNUMBER(E278)),E278&lt;0,G278&lt;&gt;"YES"),"INCOMPLETE FEES","OK"))))))</f>
        <v/>
      </c>
      <c r="J278" s="1"/>
      <c r="K278" s="1"/>
      <c r="L278" s="1"/>
      <c r="M278" s="1"/>
      <c r="N278" s="1"/>
      <c r="O278" s="1"/>
    </row>
    <row r="279" spans="1:15" ht="32" customHeight="1">
      <c r="A279" s="4"/>
      <c r="B279" s="4"/>
      <c r="C279" s="6"/>
      <c r="D279" s="4"/>
      <c r="E279" s="12"/>
      <c r="F279" s="6"/>
      <c r="G279" s="4"/>
      <c r="H279" s="14"/>
      <c r="I279" s="11" t="str">
        <f>IF(A279="",IF(COUNTA(B279:H279)&gt;0,"MISSING ID",""),IF(COUNTIFS($A$6:$A$305,A279,$B$6:$B$305,B279)&lt;&gt;1,"DUPLICATE CASE/STAGE",IF(AND(B279&lt;&gt;"INITIAL",B279&lt;&gt;"RECON",B279&lt;&gt;"HEARING"),"UNKNOWN STAGE",IF(OR(NOT(ISNUMBER(C279)),C279&gt;Assumptions!$B$5,NOT(ISNUMBER(F279)),F279&lt;C279,F279&gt;Assumptions!$B$5),"INVALID DATES",IF(AND(D279&lt;&gt;"FAVORABLE",D279&lt;&gt;"OTHER"),"UNKNOWN OUTCOME",IF(OR(NOT(ISNUMBER(E279)),E279&lt;0,G279&lt;&gt;"YES"),"INCOMPLETE FEES","OK"))))))</f>
        <v/>
      </c>
      <c r="J279" s="1"/>
      <c r="K279" s="1"/>
      <c r="L279" s="1"/>
      <c r="M279" s="1"/>
      <c r="N279" s="1"/>
      <c r="O279" s="1"/>
    </row>
    <row r="280" spans="1:15" ht="32" customHeight="1">
      <c r="A280" s="4"/>
      <c r="B280" s="4"/>
      <c r="C280" s="6"/>
      <c r="D280" s="4"/>
      <c r="E280" s="12"/>
      <c r="F280" s="6"/>
      <c r="G280" s="4"/>
      <c r="H280" s="14"/>
      <c r="I280" s="11" t="str">
        <f>IF(A280="",IF(COUNTA(B280:H280)&gt;0,"MISSING ID",""),IF(COUNTIFS($A$6:$A$305,A280,$B$6:$B$305,B280)&lt;&gt;1,"DUPLICATE CASE/STAGE",IF(AND(B280&lt;&gt;"INITIAL",B280&lt;&gt;"RECON",B280&lt;&gt;"HEARING"),"UNKNOWN STAGE",IF(OR(NOT(ISNUMBER(C280)),C280&gt;Assumptions!$B$5,NOT(ISNUMBER(F280)),F280&lt;C280,F280&gt;Assumptions!$B$5),"INVALID DATES",IF(AND(D280&lt;&gt;"FAVORABLE",D280&lt;&gt;"OTHER"),"UNKNOWN OUTCOME",IF(OR(NOT(ISNUMBER(E280)),E280&lt;0,G280&lt;&gt;"YES"),"INCOMPLETE FEES","OK"))))))</f>
        <v/>
      </c>
      <c r="J280" s="1"/>
      <c r="K280" s="1"/>
      <c r="L280" s="1"/>
      <c r="M280" s="1"/>
      <c r="N280" s="1"/>
      <c r="O280" s="1"/>
    </row>
    <row r="281" spans="1:15" ht="32" customHeight="1">
      <c r="A281" s="4"/>
      <c r="B281" s="4"/>
      <c r="C281" s="6"/>
      <c r="D281" s="4"/>
      <c r="E281" s="12"/>
      <c r="F281" s="6"/>
      <c r="G281" s="4"/>
      <c r="H281" s="14"/>
      <c r="I281" s="11" t="str">
        <f>IF(A281="",IF(COUNTA(B281:H281)&gt;0,"MISSING ID",""),IF(COUNTIFS($A$6:$A$305,A281,$B$6:$B$305,B281)&lt;&gt;1,"DUPLICATE CASE/STAGE",IF(AND(B281&lt;&gt;"INITIAL",B281&lt;&gt;"RECON",B281&lt;&gt;"HEARING"),"UNKNOWN STAGE",IF(OR(NOT(ISNUMBER(C281)),C281&gt;Assumptions!$B$5,NOT(ISNUMBER(F281)),F281&lt;C281,F281&gt;Assumptions!$B$5),"INVALID DATES",IF(AND(D281&lt;&gt;"FAVORABLE",D281&lt;&gt;"OTHER"),"UNKNOWN OUTCOME",IF(OR(NOT(ISNUMBER(E281)),E281&lt;0,G281&lt;&gt;"YES"),"INCOMPLETE FEES","OK"))))))</f>
        <v/>
      </c>
      <c r="J281" s="1"/>
      <c r="K281" s="1"/>
      <c r="L281" s="1"/>
      <c r="M281" s="1"/>
      <c r="N281" s="1"/>
      <c r="O281" s="1"/>
    </row>
    <row r="282" spans="1:15" ht="32" customHeight="1">
      <c r="A282" s="4"/>
      <c r="B282" s="4"/>
      <c r="C282" s="6"/>
      <c r="D282" s="4"/>
      <c r="E282" s="12"/>
      <c r="F282" s="6"/>
      <c r="G282" s="4"/>
      <c r="H282" s="14"/>
      <c r="I282" s="11" t="str">
        <f>IF(A282="",IF(COUNTA(B282:H282)&gt;0,"MISSING ID",""),IF(COUNTIFS($A$6:$A$305,A282,$B$6:$B$305,B282)&lt;&gt;1,"DUPLICATE CASE/STAGE",IF(AND(B282&lt;&gt;"INITIAL",B282&lt;&gt;"RECON",B282&lt;&gt;"HEARING"),"UNKNOWN STAGE",IF(OR(NOT(ISNUMBER(C282)),C282&gt;Assumptions!$B$5,NOT(ISNUMBER(F282)),F282&lt;C282,F282&gt;Assumptions!$B$5),"INVALID DATES",IF(AND(D282&lt;&gt;"FAVORABLE",D282&lt;&gt;"OTHER"),"UNKNOWN OUTCOME",IF(OR(NOT(ISNUMBER(E282)),E282&lt;0,G282&lt;&gt;"YES"),"INCOMPLETE FEES","OK"))))))</f>
        <v/>
      </c>
      <c r="J282" s="1"/>
      <c r="K282" s="1"/>
      <c r="L282" s="1"/>
      <c r="M282" s="1"/>
      <c r="N282" s="1"/>
      <c r="O282" s="1"/>
    </row>
    <row r="283" spans="1:15" ht="32" customHeight="1">
      <c r="A283" s="4"/>
      <c r="B283" s="4"/>
      <c r="C283" s="6"/>
      <c r="D283" s="4"/>
      <c r="E283" s="12"/>
      <c r="F283" s="6"/>
      <c r="G283" s="4"/>
      <c r="H283" s="14"/>
      <c r="I283" s="11" t="str">
        <f>IF(A283="",IF(COUNTA(B283:H283)&gt;0,"MISSING ID",""),IF(COUNTIFS($A$6:$A$305,A283,$B$6:$B$305,B283)&lt;&gt;1,"DUPLICATE CASE/STAGE",IF(AND(B283&lt;&gt;"INITIAL",B283&lt;&gt;"RECON",B283&lt;&gt;"HEARING"),"UNKNOWN STAGE",IF(OR(NOT(ISNUMBER(C283)),C283&gt;Assumptions!$B$5,NOT(ISNUMBER(F283)),F283&lt;C283,F283&gt;Assumptions!$B$5),"INVALID DATES",IF(AND(D283&lt;&gt;"FAVORABLE",D283&lt;&gt;"OTHER"),"UNKNOWN OUTCOME",IF(OR(NOT(ISNUMBER(E283)),E283&lt;0,G283&lt;&gt;"YES"),"INCOMPLETE FEES","OK"))))))</f>
        <v/>
      </c>
      <c r="J283" s="1"/>
      <c r="K283" s="1"/>
      <c r="L283" s="1"/>
      <c r="M283" s="1"/>
      <c r="N283" s="1"/>
      <c r="O283" s="1"/>
    </row>
    <row r="284" spans="1:15" ht="32" customHeight="1">
      <c r="A284" s="4"/>
      <c r="B284" s="4"/>
      <c r="C284" s="6"/>
      <c r="D284" s="4"/>
      <c r="E284" s="12"/>
      <c r="F284" s="6"/>
      <c r="G284" s="4"/>
      <c r="H284" s="14"/>
      <c r="I284" s="11" t="str">
        <f>IF(A284="",IF(COUNTA(B284:H284)&gt;0,"MISSING ID",""),IF(COUNTIFS($A$6:$A$305,A284,$B$6:$B$305,B284)&lt;&gt;1,"DUPLICATE CASE/STAGE",IF(AND(B284&lt;&gt;"INITIAL",B284&lt;&gt;"RECON",B284&lt;&gt;"HEARING"),"UNKNOWN STAGE",IF(OR(NOT(ISNUMBER(C284)),C284&gt;Assumptions!$B$5,NOT(ISNUMBER(F284)),F284&lt;C284,F284&gt;Assumptions!$B$5),"INVALID DATES",IF(AND(D284&lt;&gt;"FAVORABLE",D284&lt;&gt;"OTHER"),"UNKNOWN OUTCOME",IF(OR(NOT(ISNUMBER(E284)),E284&lt;0,G284&lt;&gt;"YES"),"INCOMPLETE FEES","OK"))))))</f>
        <v/>
      </c>
      <c r="J284" s="1"/>
      <c r="K284" s="1"/>
      <c r="L284" s="1"/>
      <c r="M284" s="1"/>
      <c r="N284" s="1"/>
      <c r="O284" s="1"/>
    </row>
    <row r="285" spans="1:15" ht="32" customHeight="1">
      <c r="A285" s="4"/>
      <c r="B285" s="4"/>
      <c r="C285" s="6"/>
      <c r="D285" s="4"/>
      <c r="E285" s="12"/>
      <c r="F285" s="6"/>
      <c r="G285" s="4"/>
      <c r="H285" s="14"/>
      <c r="I285" s="11" t="str">
        <f>IF(A285="",IF(COUNTA(B285:H285)&gt;0,"MISSING ID",""),IF(COUNTIFS($A$6:$A$305,A285,$B$6:$B$305,B285)&lt;&gt;1,"DUPLICATE CASE/STAGE",IF(AND(B285&lt;&gt;"INITIAL",B285&lt;&gt;"RECON",B285&lt;&gt;"HEARING"),"UNKNOWN STAGE",IF(OR(NOT(ISNUMBER(C285)),C285&gt;Assumptions!$B$5,NOT(ISNUMBER(F285)),F285&lt;C285,F285&gt;Assumptions!$B$5),"INVALID DATES",IF(AND(D285&lt;&gt;"FAVORABLE",D285&lt;&gt;"OTHER"),"UNKNOWN OUTCOME",IF(OR(NOT(ISNUMBER(E285)),E285&lt;0,G285&lt;&gt;"YES"),"INCOMPLETE FEES","OK"))))))</f>
        <v/>
      </c>
      <c r="J285" s="1"/>
      <c r="K285" s="1"/>
      <c r="L285" s="1"/>
      <c r="M285" s="1"/>
      <c r="N285" s="1"/>
      <c r="O285" s="1"/>
    </row>
    <row r="286" spans="1:15" ht="32" customHeight="1">
      <c r="A286" s="4"/>
      <c r="B286" s="4"/>
      <c r="C286" s="6"/>
      <c r="D286" s="4"/>
      <c r="E286" s="12"/>
      <c r="F286" s="6"/>
      <c r="G286" s="4"/>
      <c r="H286" s="14"/>
      <c r="I286" s="11" t="str">
        <f>IF(A286="",IF(COUNTA(B286:H286)&gt;0,"MISSING ID",""),IF(COUNTIFS($A$6:$A$305,A286,$B$6:$B$305,B286)&lt;&gt;1,"DUPLICATE CASE/STAGE",IF(AND(B286&lt;&gt;"INITIAL",B286&lt;&gt;"RECON",B286&lt;&gt;"HEARING"),"UNKNOWN STAGE",IF(OR(NOT(ISNUMBER(C286)),C286&gt;Assumptions!$B$5,NOT(ISNUMBER(F286)),F286&lt;C286,F286&gt;Assumptions!$B$5),"INVALID DATES",IF(AND(D286&lt;&gt;"FAVORABLE",D286&lt;&gt;"OTHER"),"UNKNOWN OUTCOME",IF(OR(NOT(ISNUMBER(E286)),E286&lt;0,G286&lt;&gt;"YES"),"INCOMPLETE FEES","OK"))))))</f>
        <v/>
      </c>
      <c r="J286" s="1"/>
      <c r="K286" s="1"/>
      <c r="L286" s="1"/>
      <c r="M286" s="1"/>
      <c r="N286" s="1"/>
      <c r="O286" s="1"/>
    </row>
    <row r="287" spans="1:15" ht="32" customHeight="1">
      <c r="A287" s="4"/>
      <c r="B287" s="4"/>
      <c r="C287" s="6"/>
      <c r="D287" s="4"/>
      <c r="E287" s="12"/>
      <c r="F287" s="6"/>
      <c r="G287" s="4"/>
      <c r="H287" s="14"/>
      <c r="I287" s="11" t="str">
        <f>IF(A287="",IF(COUNTA(B287:H287)&gt;0,"MISSING ID",""),IF(COUNTIFS($A$6:$A$305,A287,$B$6:$B$305,B287)&lt;&gt;1,"DUPLICATE CASE/STAGE",IF(AND(B287&lt;&gt;"INITIAL",B287&lt;&gt;"RECON",B287&lt;&gt;"HEARING"),"UNKNOWN STAGE",IF(OR(NOT(ISNUMBER(C287)),C287&gt;Assumptions!$B$5,NOT(ISNUMBER(F287)),F287&lt;C287,F287&gt;Assumptions!$B$5),"INVALID DATES",IF(AND(D287&lt;&gt;"FAVORABLE",D287&lt;&gt;"OTHER"),"UNKNOWN OUTCOME",IF(OR(NOT(ISNUMBER(E287)),E287&lt;0,G287&lt;&gt;"YES"),"INCOMPLETE FEES","OK"))))))</f>
        <v/>
      </c>
      <c r="J287" s="1"/>
      <c r="K287" s="1"/>
      <c r="L287" s="1"/>
      <c r="M287" s="1"/>
      <c r="N287" s="1"/>
      <c r="O287" s="1"/>
    </row>
    <row r="288" spans="1:15" ht="32" customHeight="1">
      <c r="A288" s="4"/>
      <c r="B288" s="4"/>
      <c r="C288" s="6"/>
      <c r="D288" s="4"/>
      <c r="E288" s="12"/>
      <c r="F288" s="6"/>
      <c r="G288" s="4"/>
      <c r="H288" s="14"/>
      <c r="I288" s="11" t="str">
        <f>IF(A288="",IF(COUNTA(B288:H288)&gt;0,"MISSING ID",""),IF(COUNTIFS($A$6:$A$305,A288,$B$6:$B$305,B288)&lt;&gt;1,"DUPLICATE CASE/STAGE",IF(AND(B288&lt;&gt;"INITIAL",B288&lt;&gt;"RECON",B288&lt;&gt;"HEARING"),"UNKNOWN STAGE",IF(OR(NOT(ISNUMBER(C288)),C288&gt;Assumptions!$B$5,NOT(ISNUMBER(F288)),F288&lt;C288,F288&gt;Assumptions!$B$5),"INVALID DATES",IF(AND(D288&lt;&gt;"FAVORABLE",D288&lt;&gt;"OTHER"),"UNKNOWN OUTCOME",IF(OR(NOT(ISNUMBER(E288)),E288&lt;0,G288&lt;&gt;"YES"),"INCOMPLETE FEES","OK"))))))</f>
        <v/>
      </c>
      <c r="J288" s="1"/>
      <c r="K288" s="1"/>
      <c r="L288" s="1"/>
      <c r="M288" s="1"/>
      <c r="N288" s="1"/>
      <c r="O288" s="1"/>
    </row>
    <row r="289" spans="1:15" ht="32" customHeight="1">
      <c r="A289" s="4"/>
      <c r="B289" s="4"/>
      <c r="C289" s="6"/>
      <c r="D289" s="4"/>
      <c r="E289" s="12"/>
      <c r="F289" s="6"/>
      <c r="G289" s="4"/>
      <c r="H289" s="14"/>
      <c r="I289" s="11" t="str">
        <f>IF(A289="",IF(COUNTA(B289:H289)&gt;0,"MISSING ID",""),IF(COUNTIFS($A$6:$A$305,A289,$B$6:$B$305,B289)&lt;&gt;1,"DUPLICATE CASE/STAGE",IF(AND(B289&lt;&gt;"INITIAL",B289&lt;&gt;"RECON",B289&lt;&gt;"HEARING"),"UNKNOWN STAGE",IF(OR(NOT(ISNUMBER(C289)),C289&gt;Assumptions!$B$5,NOT(ISNUMBER(F289)),F289&lt;C289,F289&gt;Assumptions!$B$5),"INVALID DATES",IF(AND(D289&lt;&gt;"FAVORABLE",D289&lt;&gt;"OTHER"),"UNKNOWN OUTCOME",IF(OR(NOT(ISNUMBER(E289)),E289&lt;0,G289&lt;&gt;"YES"),"INCOMPLETE FEES","OK"))))))</f>
        <v/>
      </c>
      <c r="J289" s="1"/>
      <c r="K289" s="1"/>
      <c r="L289" s="1"/>
      <c r="M289" s="1"/>
      <c r="N289" s="1"/>
      <c r="O289" s="1"/>
    </row>
    <row r="290" spans="1:15" ht="32" customHeight="1">
      <c r="A290" s="4"/>
      <c r="B290" s="4"/>
      <c r="C290" s="6"/>
      <c r="D290" s="4"/>
      <c r="E290" s="12"/>
      <c r="F290" s="6"/>
      <c r="G290" s="4"/>
      <c r="H290" s="14"/>
      <c r="I290" s="11" t="str">
        <f>IF(A290="",IF(COUNTA(B290:H290)&gt;0,"MISSING ID",""),IF(COUNTIFS($A$6:$A$305,A290,$B$6:$B$305,B290)&lt;&gt;1,"DUPLICATE CASE/STAGE",IF(AND(B290&lt;&gt;"INITIAL",B290&lt;&gt;"RECON",B290&lt;&gt;"HEARING"),"UNKNOWN STAGE",IF(OR(NOT(ISNUMBER(C290)),C290&gt;Assumptions!$B$5,NOT(ISNUMBER(F290)),F290&lt;C290,F290&gt;Assumptions!$B$5),"INVALID DATES",IF(AND(D290&lt;&gt;"FAVORABLE",D290&lt;&gt;"OTHER"),"UNKNOWN OUTCOME",IF(OR(NOT(ISNUMBER(E290)),E290&lt;0,G290&lt;&gt;"YES"),"INCOMPLETE FEES","OK"))))))</f>
        <v/>
      </c>
      <c r="J290" s="1"/>
      <c r="K290" s="1"/>
      <c r="L290" s="1"/>
      <c r="M290" s="1"/>
      <c r="N290" s="1"/>
      <c r="O290" s="1"/>
    </row>
    <row r="291" spans="1:15" ht="32" customHeight="1">
      <c r="A291" s="4"/>
      <c r="B291" s="4"/>
      <c r="C291" s="6"/>
      <c r="D291" s="4"/>
      <c r="E291" s="12"/>
      <c r="F291" s="6"/>
      <c r="G291" s="4"/>
      <c r="H291" s="14"/>
      <c r="I291" s="11" t="str">
        <f>IF(A291="",IF(COUNTA(B291:H291)&gt;0,"MISSING ID",""),IF(COUNTIFS($A$6:$A$305,A291,$B$6:$B$305,B291)&lt;&gt;1,"DUPLICATE CASE/STAGE",IF(AND(B291&lt;&gt;"INITIAL",B291&lt;&gt;"RECON",B291&lt;&gt;"HEARING"),"UNKNOWN STAGE",IF(OR(NOT(ISNUMBER(C291)),C291&gt;Assumptions!$B$5,NOT(ISNUMBER(F291)),F291&lt;C291,F291&gt;Assumptions!$B$5),"INVALID DATES",IF(AND(D291&lt;&gt;"FAVORABLE",D291&lt;&gt;"OTHER"),"UNKNOWN OUTCOME",IF(OR(NOT(ISNUMBER(E291)),E291&lt;0,G291&lt;&gt;"YES"),"INCOMPLETE FEES","OK"))))))</f>
        <v/>
      </c>
      <c r="J291" s="1"/>
      <c r="K291" s="1"/>
      <c r="L291" s="1"/>
      <c r="M291" s="1"/>
      <c r="N291" s="1"/>
      <c r="O291" s="1"/>
    </row>
    <row r="292" spans="1:15" ht="32" customHeight="1">
      <c r="A292" s="4"/>
      <c r="B292" s="4"/>
      <c r="C292" s="6"/>
      <c r="D292" s="4"/>
      <c r="E292" s="12"/>
      <c r="F292" s="6"/>
      <c r="G292" s="4"/>
      <c r="H292" s="14"/>
      <c r="I292" s="11" t="str">
        <f>IF(A292="",IF(COUNTA(B292:H292)&gt;0,"MISSING ID",""),IF(COUNTIFS($A$6:$A$305,A292,$B$6:$B$305,B292)&lt;&gt;1,"DUPLICATE CASE/STAGE",IF(AND(B292&lt;&gt;"INITIAL",B292&lt;&gt;"RECON",B292&lt;&gt;"HEARING"),"UNKNOWN STAGE",IF(OR(NOT(ISNUMBER(C292)),C292&gt;Assumptions!$B$5,NOT(ISNUMBER(F292)),F292&lt;C292,F292&gt;Assumptions!$B$5),"INVALID DATES",IF(AND(D292&lt;&gt;"FAVORABLE",D292&lt;&gt;"OTHER"),"UNKNOWN OUTCOME",IF(OR(NOT(ISNUMBER(E292)),E292&lt;0,G292&lt;&gt;"YES"),"INCOMPLETE FEES","OK"))))))</f>
        <v/>
      </c>
      <c r="J292" s="1"/>
      <c r="K292" s="1"/>
      <c r="L292" s="1"/>
      <c r="M292" s="1"/>
      <c r="N292" s="1"/>
      <c r="O292" s="1"/>
    </row>
    <row r="293" spans="1:15" ht="32" customHeight="1">
      <c r="A293" s="4"/>
      <c r="B293" s="4"/>
      <c r="C293" s="6"/>
      <c r="D293" s="4"/>
      <c r="E293" s="12"/>
      <c r="F293" s="6"/>
      <c r="G293" s="4"/>
      <c r="H293" s="14"/>
      <c r="I293" s="11" t="str">
        <f>IF(A293="",IF(COUNTA(B293:H293)&gt;0,"MISSING ID",""),IF(COUNTIFS($A$6:$A$305,A293,$B$6:$B$305,B293)&lt;&gt;1,"DUPLICATE CASE/STAGE",IF(AND(B293&lt;&gt;"INITIAL",B293&lt;&gt;"RECON",B293&lt;&gt;"HEARING"),"UNKNOWN STAGE",IF(OR(NOT(ISNUMBER(C293)),C293&gt;Assumptions!$B$5,NOT(ISNUMBER(F293)),F293&lt;C293,F293&gt;Assumptions!$B$5),"INVALID DATES",IF(AND(D293&lt;&gt;"FAVORABLE",D293&lt;&gt;"OTHER"),"UNKNOWN OUTCOME",IF(OR(NOT(ISNUMBER(E293)),E293&lt;0,G293&lt;&gt;"YES"),"INCOMPLETE FEES","OK"))))))</f>
        <v/>
      </c>
      <c r="J293" s="1"/>
      <c r="K293" s="1"/>
      <c r="L293" s="1"/>
      <c r="M293" s="1"/>
      <c r="N293" s="1"/>
      <c r="O293" s="1"/>
    </row>
    <row r="294" spans="1:15" ht="32" customHeight="1">
      <c r="A294" s="4"/>
      <c r="B294" s="4"/>
      <c r="C294" s="6"/>
      <c r="D294" s="4"/>
      <c r="E294" s="12"/>
      <c r="F294" s="6"/>
      <c r="G294" s="4"/>
      <c r="H294" s="14"/>
      <c r="I294" s="11" t="str">
        <f>IF(A294="",IF(COUNTA(B294:H294)&gt;0,"MISSING ID",""),IF(COUNTIFS($A$6:$A$305,A294,$B$6:$B$305,B294)&lt;&gt;1,"DUPLICATE CASE/STAGE",IF(AND(B294&lt;&gt;"INITIAL",B294&lt;&gt;"RECON",B294&lt;&gt;"HEARING"),"UNKNOWN STAGE",IF(OR(NOT(ISNUMBER(C294)),C294&gt;Assumptions!$B$5,NOT(ISNUMBER(F294)),F294&lt;C294,F294&gt;Assumptions!$B$5),"INVALID DATES",IF(AND(D294&lt;&gt;"FAVORABLE",D294&lt;&gt;"OTHER"),"UNKNOWN OUTCOME",IF(OR(NOT(ISNUMBER(E294)),E294&lt;0,G294&lt;&gt;"YES"),"INCOMPLETE FEES","OK"))))))</f>
        <v/>
      </c>
      <c r="J294" s="1"/>
      <c r="K294" s="1"/>
      <c r="L294" s="1"/>
      <c r="M294" s="1"/>
      <c r="N294" s="1"/>
      <c r="O294" s="1"/>
    </row>
    <row r="295" spans="1:15" ht="32" customHeight="1">
      <c r="A295" s="4"/>
      <c r="B295" s="4"/>
      <c r="C295" s="6"/>
      <c r="D295" s="4"/>
      <c r="E295" s="12"/>
      <c r="F295" s="6"/>
      <c r="G295" s="4"/>
      <c r="H295" s="14"/>
      <c r="I295" s="11" t="str">
        <f>IF(A295="",IF(COUNTA(B295:H295)&gt;0,"MISSING ID",""),IF(COUNTIFS($A$6:$A$305,A295,$B$6:$B$305,B295)&lt;&gt;1,"DUPLICATE CASE/STAGE",IF(AND(B295&lt;&gt;"INITIAL",B295&lt;&gt;"RECON",B295&lt;&gt;"HEARING"),"UNKNOWN STAGE",IF(OR(NOT(ISNUMBER(C295)),C295&gt;Assumptions!$B$5,NOT(ISNUMBER(F295)),F295&lt;C295,F295&gt;Assumptions!$B$5),"INVALID DATES",IF(AND(D295&lt;&gt;"FAVORABLE",D295&lt;&gt;"OTHER"),"UNKNOWN OUTCOME",IF(OR(NOT(ISNUMBER(E295)),E295&lt;0,G295&lt;&gt;"YES"),"INCOMPLETE FEES","OK"))))))</f>
        <v/>
      </c>
      <c r="J295" s="1"/>
      <c r="K295" s="1"/>
      <c r="L295" s="1"/>
      <c r="M295" s="1"/>
      <c r="N295" s="1"/>
      <c r="O295" s="1"/>
    </row>
    <row r="296" spans="1:15" ht="32" customHeight="1">
      <c r="A296" s="4"/>
      <c r="B296" s="4"/>
      <c r="C296" s="6"/>
      <c r="D296" s="4"/>
      <c r="E296" s="12"/>
      <c r="F296" s="6"/>
      <c r="G296" s="4"/>
      <c r="H296" s="14"/>
      <c r="I296" s="11" t="str">
        <f>IF(A296="",IF(COUNTA(B296:H296)&gt;0,"MISSING ID",""),IF(COUNTIFS($A$6:$A$305,A296,$B$6:$B$305,B296)&lt;&gt;1,"DUPLICATE CASE/STAGE",IF(AND(B296&lt;&gt;"INITIAL",B296&lt;&gt;"RECON",B296&lt;&gt;"HEARING"),"UNKNOWN STAGE",IF(OR(NOT(ISNUMBER(C296)),C296&gt;Assumptions!$B$5,NOT(ISNUMBER(F296)),F296&lt;C296,F296&gt;Assumptions!$B$5),"INVALID DATES",IF(AND(D296&lt;&gt;"FAVORABLE",D296&lt;&gt;"OTHER"),"UNKNOWN OUTCOME",IF(OR(NOT(ISNUMBER(E296)),E296&lt;0,G296&lt;&gt;"YES"),"INCOMPLETE FEES","OK"))))))</f>
        <v/>
      </c>
      <c r="J296" s="1"/>
      <c r="K296" s="1"/>
      <c r="L296" s="1"/>
      <c r="M296" s="1"/>
      <c r="N296" s="1"/>
      <c r="O296" s="1"/>
    </row>
    <row r="297" spans="1:15" ht="32" customHeight="1">
      <c r="A297" s="4"/>
      <c r="B297" s="4"/>
      <c r="C297" s="6"/>
      <c r="D297" s="4"/>
      <c r="E297" s="12"/>
      <c r="F297" s="6"/>
      <c r="G297" s="4"/>
      <c r="H297" s="14"/>
      <c r="I297" s="11" t="str">
        <f>IF(A297="",IF(COUNTA(B297:H297)&gt;0,"MISSING ID",""),IF(COUNTIFS($A$6:$A$305,A297,$B$6:$B$305,B297)&lt;&gt;1,"DUPLICATE CASE/STAGE",IF(AND(B297&lt;&gt;"INITIAL",B297&lt;&gt;"RECON",B297&lt;&gt;"HEARING"),"UNKNOWN STAGE",IF(OR(NOT(ISNUMBER(C297)),C297&gt;Assumptions!$B$5,NOT(ISNUMBER(F297)),F297&lt;C297,F297&gt;Assumptions!$B$5),"INVALID DATES",IF(AND(D297&lt;&gt;"FAVORABLE",D297&lt;&gt;"OTHER"),"UNKNOWN OUTCOME",IF(OR(NOT(ISNUMBER(E297)),E297&lt;0,G297&lt;&gt;"YES"),"INCOMPLETE FEES","OK"))))))</f>
        <v/>
      </c>
      <c r="J297" s="1"/>
      <c r="K297" s="1"/>
      <c r="L297" s="1"/>
      <c r="M297" s="1"/>
      <c r="N297" s="1"/>
      <c r="O297" s="1"/>
    </row>
    <row r="298" spans="1:15" ht="32" customHeight="1">
      <c r="A298" s="4"/>
      <c r="B298" s="4"/>
      <c r="C298" s="6"/>
      <c r="D298" s="4"/>
      <c r="E298" s="12"/>
      <c r="F298" s="6"/>
      <c r="G298" s="4"/>
      <c r="H298" s="14"/>
      <c r="I298" s="11" t="str">
        <f>IF(A298="",IF(COUNTA(B298:H298)&gt;0,"MISSING ID",""),IF(COUNTIFS($A$6:$A$305,A298,$B$6:$B$305,B298)&lt;&gt;1,"DUPLICATE CASE/STAGE",IF(AND(B298&lt;&gt;"INITIAL",B298&lt;&gt;"RECON",B298&lt;&gt;"HEARING"),"UNKNOWN STAGE",IF(OR(NOT(ISNUMBER(C298)),C298&gt;Assumptions!$B$5,NOT(ISNUMBER(F298)),F298&lt;C298,F298&gt;Assumptions!$B$5),"INVALID DATES",IF(AND(D298&lt;&gt;"FAVORABLE",D298&lt;&gt;"OTHER"),"UNKNOWN OUTCOME",IF(OR(NOT(ISNUMBER(E298)),E298&lt;0,G298&lt;&gt;"YES"),"INCOMPLETE FEES","OK"))))))</f>
        <v/>
      </c>
      <c r="J298" s="1"/>
      <c r="K298" s="1"/>
      <c r="L298" s="1"/>
      <c r="M298" s="1"/>
      <c r="N298" s="1"/>
      <c r="O298" s="1"/>
    </row>
    <row r="299" spans="1:15" ht="32" customHeight="1">
      <c r="A299" s="4"/>
      <c r="B299" s="4"/>
      <c r="C299" s="6"/>
      <c r="D299" s="4"/>
      <c r="E299" s="12"/>
      <c r="F299" s="6"/>
      <c r="G299" s="4"/>
      <c r="H299" s="14"/>
      <c r="I299" s="11" t="str">
        <f>IF(A299="",IF(COUNTA(B299:H299)&gt;0,"MISSING ID",""),IF(COUNTIFS($A$6:$A$305,A299,$B$6:$B$305,B299)&lt;&gt;1,"DUPLICATE CASE/STAGE",IF(AND(B299&lt;&gt;"INITIAL",B299&lt;&gt;"RECON",B299&lt;&gt;"HEARING"),"UNKNOWN STAGE",IF(OR(NOT(ISNUMBER(C299)),C299&gt;Assumptions!$B$5,NOT(ISNUMBER(F299)),F299&lt;C299,F299&gt;Assumptions!$B$5),"INVALID DATES",IF(AND(D299&lt;&gt;"FAVORABLE",D299&lt;&gt;"OTHER"),"UNKNOWN OUTCOME",IF(OR(NOT(ISNUMBER(E299)),E299&lt;0,G299&lt;&gt;"YES"),"INCOMPLETE FEES","OK"))))))</f>
        <v/>
      </c>
      <c r="J299" s="1"/>
      <c r="K299" s="1"/>
      <c r="L299" s="1"/>
      <c r="M299" s="1"/>
      <c r="N299" s="1"/>
      <c r="O299" s="1"/>
    </row>
    <row r="300" spans="1:15" ht="32" customHeight="1">
      <c r="A300" s="4"/>
      <c r="B300" s="4"/>
      <c r="C300" s="6"/>
      <c r="D300" s="4"/>
      <c r="E300" s="12"/>
      <c r="F300" s="6"/>
      <c r="G300" s="4"/>
      <c r="H300" s="14"/>
      <c r="I300" s="11" t="str">
        <f>IF(A300="",IF(COUNTA(B300:H300)&gt;0,"MISSING ID",""),IF(COUNTIFS($A$6:$A$305,A300,$B$6:$B$305,B300)&lt;&gt;1,"DUPLICATE CASE/STAGE",IF(AND(B300&lt;&gt;"INITIAL",B300&lt;&gt;"RECON",B300&lt;&gt;"HEARING"),"UNKNOWN STAGE",IF(OR(NOT(ISNUMBER(C300)),C300&gt;Assumptions!$B$5,NOT(ISNUMBER(F300)),F300&lt;C300,F300&gt;Assumptions!$B$5),"INVALID DATES",IF(AND(D300&lt;&gt;"FAVORABLE",D300&lt;&gt;"OTHER"),"UNKNOWN OUTCOME",IF(OR(NOT(ISNUMBER(E300)),E300&lt;0,G300&lt;&gt;"YES"),"INCOMPLETE FEES","OK"))))))</f>
        <v/>
      </c>
      <c r="J300" s="1"/>
      <c r="K300" s="1"/>
      <c r="L300" s="1"/>
      <c r="M300" s="1"/>
      <c r="N300" s="1"/>
      <c r="O300" s="1"/>
    </row>
    <row r="301" spans="1:15" ht="32" customHeight="1">
      <c r="A301" s="4"/>
      <c r="B301" s="4"/>
      <c r="C301" s="6"/>
      <c r="D301" s="4"/>
      <c r="E301" s="12"/>
      <c r="F301" s="6"/>
      <c r="G301" s="4"/>
      <c r="H301" s="14"/>
      <c r="I301" s="11" t="str">
        <f>IF(A301="",IF(COUNTA(B301:H301)&gt;0,"MISSING ID",""),IF(COUNTIFS($A$6:$A$305,A301,$B$6:$B$305,B301)&lt;&gt;1,"DUPLICATE CASE/STAGE",IF(AND(B301&lt;&gt;"INITIAL",B301&lt;&gt;"RECON",B301&lt;&gt;"HEARING"),"UNKNOWN STAGE",IF(OR(NOT(ISNUMBER(C301)),C301&gt;Assumptions!$B$5,NOT(ISNUMBER(F301)),F301&lt;C301,F301&gt;Assumptions!$B$5),"INVALID DATES",IF(AND(D301&lt;&gt;"FAVORABLE",D301&lt;&gt;"OTHER"),"UNKNOWN OUTCOME",IF(OR(NOT(ISNUMBER(E301)),E301&lt;0,G301&lt;&gt;"YES"),"INCOMPLETE FEES","OK"))))))</f>
        <v/>
      </c>
      <c r="J301" s="1"/>
      <c r="K301" s="1"/>
      <c r="L301" s="1"/>
      <c r="M301" s="1"/>
      <c r="N301" s="1"/>
      <c r="O301" s="1"/>
    </row>
    <row r="302" spans="1:15" ht="32" customHeight="1">
      <c r="A302" s="4"/>
      <c r="B302" s="4"/>
      <c r="C302" s="6"/>
      <c r="D302" s="4"/>
      <c r="E302" s="12"/>
      <c r="F302" s="6"/>
      <c r="G302" s="4"/>
      <c r="H302" s="14"/>
      <c r="I302" s="11" t="str">
        <f>IF(A302="",IF(COUNTA(B302:H302)&gt;0,"MISSING ID",""),IF(COUNTIFS($A$6:$A$305,A302,$B$6:$B$305,B302)&lt;&gt;1,"DUPLICATE CASE/STAGE",IF(AND(B302&lt;&gt;"INITIAL",B302&lt;&gt;"RECON",B302&lt;&gt;"HEARING"),"UNKNOWN STAGE",IF(OR(NOT(ISNUMBER(C302)),C302&gt;Assumptions!$B$5,NOT(ISNUMBER(F302)),F302&lt;C302,F302&gt;Assumptions!$B$5),"INVALID DATES",IF(AND(D302&lt;&gt;"FAVORABLE",D302&lt;&gt;"OTHER"),"UNKNOWN OUTCOME",IF(OR(NOT(ISNUMBER(E302)),E302&lt;0,G302&lt;&gt;"YES"),"INCOMPLETE FEES","OK"))))))</f>
        <v/>
      </c>
      <c r="J302" s="1"/>
      <c r="K302" s="1"/>
      <c r="L302" s="1"/>
      <c r="M302" s="1"/>
      <c r="N302" s="1"/>
      <c r="O302" s="1"/>
    </row>
    <row r="303" spans="1:15" ht="32" customHeight="1">
      <c r="A303" s="4"/>
      <c r="B303" s="4"/>
      <c r="C303" s="6"/>
      <c r="D303" s="4"/>
      <c r="E303" s="12"/>
      <c r="F303" s="6"/>
      <c r="G303" s="4"/>
      <c r="H303" s="14"/>
      <c r="I303" s="11" t="str">
        <f>IF(A303="",IF(COUNTA(B303:H303)&gt;0,"MISSING ID",""),IF(COUNTIFS($A$6:$A$305,A303,$B$6:$B$305,B303)&lt;&gt;1,"DUPLICATE CASE/STAGE",IF(AND(B303&lt;&gt;"INITIAL",B303&lt;&gt;"RECON",B303&lt;&gt;"HEARING"),"UNKNOWN STAGE",IF(OR(NOT(ISNUMBER(C303)),C303&gt;Assumptions!$B$5,NOT(ISNUMBER(F303)),F303&lt;C303,F303&gt;Assumptions!$B$5),"INVALID DATES",IF(AND(D303&lt;&gt;"FAVORABLE",D303&lt;&gt;"OTHER"),"UNKNOWN OUTCOME",IF(OR(NOT(ISNUMBER(E303)),E303&lt;0,G303&lt;&gt;"YES"),"INCOMPLETE FEES","OK"))))))</f>
        <v/>
      </c>
      <c r="J303" s="1"/>
      <c r="K303" s="1"/>
      <c r="L303" s="1"/>
      <c r="M303" s="1"/>
      <c r="N303" s="1"/>
      <c r="O303" s="1"/>
    </row>
    <row r="304" spans="1:15" ht="32" customHeight="1">
      <c r="A304" s="4"/>
      <c r="B304" s="4"/>
      <c r="C304" s="6"/>
      <c r="D304" s="4"/>
      <c r="E304" s="12"/>
      <c r="F304" s="6"/>
      <c r="G304" s="4"/>
      <c r="H304" s="14"/>
      <c r="I304" s="11" t="str">
        <f>IF(A304="",IF(COUNTA(B304:H304)&gt;0,"MISSING ID",""),IF(COUNTIFS($A$6:$A$305,A304,$B$6:$B$305,B304)&lt;&gt;1,"DUPLICATE CASE/STAGE",IF(AND(B304&lt;&gt;"INITIAL",B304&lt;&gt;"RECON",B304&lt;&gt;"HEARING"),"UNKNOWN STAGE",IF(OR(NOT(ISNUMBER(C304)),C304&gt;Assumptions!$B$5,NOT(ISNUMBER(F304)),F304&lt;C304,F304&gt;Assumptions!$B$5),"INVALID DATES",IF(AND(D304&lt;&gt;"FAVORABLE",D304&lt;&gt;"OTHER"),"UNKNOWN OUTCOME",IF(OR(NOT(ISNUMBER(E304)),E304&lt;0,G304&lt;&gt;"YES"),"INCOMPLETE FEES","OK"))))))</f>
        <v/>
      </c>
      <c r="J304" s="1"/>
      <c r="K304" s="1"/>
      <c r="L304" s="1"/>
      <c r="M304" s="1"/>
      <c r="N304" s="1"/>
      <c r="O304" s="1"/>
    </row>
    <row r="305" spans="1:15" ht="32" customHeight="1">
      <c r="A305" s="4"/>
      <c r="B305" s="4"/>
      <c r="C305" s="6"/>
      <c r="D305" s="4"/>
      <c r="E305" s="12"/>
      <c r="F305" s="6"/>
      <c r="G305" s="4"/>
      <c r="H305" s="14"/>
      <c r="I305" s="11" t="str">
        <f>IF(A305="",IF(COUNTA(B305:H305)&gt;0,"MISSING ID",""),IF(COUNTIFS($A$6:$A$305,A305,$B$6:$B$305,B305)&lt;&gt;1,"DUPLICATE CASE/STAGE",IF(AND(B305&lt;&gt;"INITIAL",B305&lt;&gt;"RECON",B305&lt;&gt;"HEARING"),"UNKNOWN STAGE",IF(OR(NOT(ISNUMBER(C305)),C305&gt;Assumptions!$B$5,NOT(ISNUMBER(F305)),F305&lt;C305,F305&gt;Assumptions!$B$5),"INVALID DATES",IF(AND(D305&lt;&gt;"FAVORABLE",D305&lt;&gt;"OTHER"),"UNKNOWN OUTCOME",IF(OR(NOT(ISNUMBER(E305)),E305&lt;0,G305&lt;&gt;"YES"),"INCOMPLETE FEES","OK"))))))</f>
        <v/>
      </c>
      <c r="J305" s="1"/>
      <c r="K305" s="1"/>
      <c r="L305" s="1"/>
      <c r="M305" s="1"/>
      <c r="N305" s="1"/>
      <c r="O305" s="1"/>
    </row>
    <row r="306" spans="1:15" ht="2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2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2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2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2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2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</sheetData>
  <mergeCells count="2">
    <mergeCell ref="A3:O3"/>
    <mergeCell ref="K11:O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BD5DF"/>
  </sheetPr>
  <dimension ref="A1:J176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4"/>
  <cols>
    <col min="1" max="1" width="17" customWidth="1"/>
    <col min="2" max="2" width="28" customWidth="1"/>
    <col min="3" max="6" width="17" customWidth="1"/>
    <col min="7" max="7" width="34" customWidth="1"/>
    <col min="8" max="10" width="28" customWidth="1"/>
  </cols>
  <sheetData>
    <row r="1" spans="1:10" ht="22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2" customHeight="1">
      <c r="A2" s="2" t="s">
        <v>341</v>
      </c>
      <c r="B2" s="1"/>
      <c r="C2" s="1"/>
      <c r="D2" s="1"/>
      <c r="E2" s="1"/>
      <c r="F2" s="1"/>
      <c r="G2" s="1"/>
      <c r="H2" s="1"/>
      <c r="I2" s="1"/>
      <c r="J2" s="1"/>
    </row>
    <row r="3" spans="1:10" ht="22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2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42" customHeight="1">
      <c r="A5" s="3" t="s">
        <v>342</v>
      </c>
      <c r="B5" s="3" t="s">
        <v>343</v>
      </c>
      <c r="C5" s="3" t="s">
        <v>344</v>
      </c>
      <c r="D5" s="3" t="s">
        <v>345</v>
      </c>
      <c r="E5" s="3" t="s">
        <v>346</v>
      </c>
      <c r="F5" s="1"/>
      <c r="G5" s="1" t="s">
        <v>347</v>
      </c>
      <c r="H5" s="1">
        <v>188</v>
      </c>
      <c r="I5" s="1"/>
      <c r="J5" s="1"/>
    </row>
    <row r="6" spans="1:10" ht="22" customHeight="1">
      <c r="A6" s="1" t="s">
        <v>348</v>
      </c>
      <c r="B6" s="1" t="s">
        <v>349</v>
      </c>
      <c r="C6" s="1">
        <v>9</v>
      </c>
      <c r="D6" s="1" t="s">
        <v>350</v>
      </c>
      <c r="E6" s="1" t="s">
        <v>351</v>
      </c>
      <c r="F6" s="1"/>
      <c r="G6" s="1" t="s">
        <v>352</v>
      </c>
      <c r="H6" s="1">
        <v>212</v>
      </c>
      <c r="I6" s="1"/>
      <c r="J6" s="1"/>
    </row>
    <row r="7" spans="1:10" ht="22" customHeight="1">
      <c r="A7" s="1" t="s">
        <v>162</v>
      </c>
      <c r="B7" s="1" t="s">
        <v>353</v>
      </c>
      <c r="C7" s="1">
        <v>8</v>
      </c>
      <c r="D7" s="1" t="s">
        <v>350</v>
      </c>
      <c r="E7" s="1" t="s">
        <v>351</v>
      </c>
      <c r="F7" s="1"/>
      <c r="G7" s="1" t="s">
        <v>354</v>
      </c>
      <c r="H7" s="1" t="s">
        <v>355</v>
      </c>
      <c r="I7" s="1"/>
      <c r="J7" s="1"/>
    </row>
    <row r="8" spans="1:10" ht="22" customHeight="1">
      <c r="A8" s="1" t="s">
        <v>356</v>
      </c>
      <c r="B8" s="1" t="s">
        <v>357</v>
      </c>
      <c r="C8" s="1">
        <v>8</v>
      </c>
      <c r="D8" s="1" t="s">
        <v>350</v>
      </c>
      <c r="E8" s="1" t="s">
        <v>351</v>
      </c>
      <c r="F8" s="1"/>
      <c r="G8" s="1" t="s">
        <v>345</v>
      </c>
      <c r="H8" s="1" t="s">
        <v>358</v>
      </c>
      <c r="I8" s="1"/>
      <c r="J8" s="1"/>
    </row>
    <row r="9" spans="1:10" ht="22" customHeight="1">
      <c r="A9" s="1" t="s">
        <v>359</v>
      </c>
      <c r="B9" s="1" t="s">
        <v>360</v>
      </c>
      <c r="C9" s="1">
        <v>9</v>
      </c>
      <c r="D9" s="1" t="s">
        <v>350</v>
      </c>
      <c r="E9" s="1" t="s">
        <v>351</v>
      </c>
      <c r="F9" s="1"/>
      <c r="G9" s="1" t="s">
        <v>361</v>
      </c>
      <c r="H9" s="1" t="s">
        <v>362</v>
      </c>
      <c r="I9" s="1"/>
      <c r="J9" s="1"/>
    </row>
    <row r="10" spans="1:10" ht="22" customHeight="1">
      <c r="A10" s="1" t="s">
        <v>363</v>
      </c>
      <c r="B10" s="1" t="s">
        <v>364</v>
      </c>
      <c r="C10" s="1">
        <v>9.5</v>
      </c>
      <c r="D10" s="1" t="s">
        <v>350</v>
      </c>
      <c r="E10" s="1" t="s">
        <v>351</v>
      </c>
      <c r="F10" s="1"/>
      <c r="G10" s="1"/>
      <c r="H10" s="1"/>
      <c r="I10" s="1"/>
      <c r="J10" s="1"/>
    </row>
    <row r="11" spans="1:10" ht="22" customHeight="1">
      <c r="A11" s="1" t="s">
        <v>365</v>
      </c>
      <c r="B11" s="1" t="s">
        <v>366</v>
      </c>
      <c r="C11" s="1">
        <v>10</v>
      </c>
      <c r="D11" s="1" t="s">
        <v>350</v>
      </c>
      <c r="E11" s="1" t="s">
        <v>351</v>
      </c>
      <c r="F11" s="1"/>
      <c r="G11" s="29" t="s">
        <v>367</v>
      </c>
      <c r="H11" s="29"/>
      <c r="I11" s="29"/>
      <c r="J11" s="29"/>
    </row>
    <row r="12" spans="1:10" ht="22" customHeight="1">
      <c r="A12" s="1" t="s">
        <v>368</v>
      </c>
      <c r="B12" s="1" t="s">
        <v>369</v>
      </c>
      <c r="C12" s="1">
        <v>10</v>
      </c>
      <c r="D12" s="1" t="s">
        <v>350</v>
      </c>
      <c r="E12" s="1" t="s">
        <v>351</v>
      </c>
      <c r="F12" s="1"/>
      <c r="G12" s="29"/>
      <c r="H12" s="29"/>
      <c r="I12" s="29"/>
      <c r="J12" s="29"/>
    </row>
    <row r="13" spans="1:10" ht="22" customHeight="1">
      <c r="A13" s="1" t="s">
        <v>370</v>
      </c>
      <c r="B13" s="1" t="s">
        <v>371</v>
      </c>
      <c r="C13" s="1">
        <v>8.5</v>
      </c>
      <c r="D13" s="1" t="s">
        <v>350</v>
      </c>
      <c r="E13" s="1" t="s">
        <v>351</v>
      </c>
      <c r="F13" s="1"/>
      <c r="G13" s="29"/>
      <c r="H13" s="29"/>
      <c r="I13" s="29"/>
      <c r="J13" s="29"/>
    </row>
    <row r="14" spans="1:10" ht="22" customHeight="1">
      <c r="A14" s="1" t="s">
        <v>372</v>
      </c>
      <c r="B14" s="1" t="s">
        <v>373</v>
      </c>
      <c r="C14" s="1">
        <v>8.5</v>
      </c>
      <c r="D14" s="1" t="s">
        <v>350</v>
      </c>
      <c r="E14" s="1" t="s">
        <v>351</v>
      </c>
      <c r="F14" s="1"/>
      <c r="G14" s="29" t="s">
        <v>374</v>
      </c>
      <c r="H14" s="29"/>
      <c r="I14" s="29"/>
      <c r="J14" s="29"/>
    </row>
    <row r="15" spans="1:10" ht="22" customHeight="1">
      <c r="A15" s="1" t="s">
        <v>375</v>
      </c>
      <c r="B15" s="1" t="s">
        <v>376</v>
      </c>
      <c r="C15" s="1">
        <v>7</v>
      </c>
      <c r="D15" s="1" t="s">
        <v>350</v>
      </c>
      <c r="E15" s="1" t="s">
        <v>351</v>
      </c>
      <c r="F15" s="1"/>
      <c r="G15" s="29"/>
      <c r="H15" s="29"/>
      <c r="I15" s="29"/>
      <c r="J15" s="29"/>
    </row>
    <row r="16" spans="1:10" ht="22" customHeight="1">
      <c r="A16" s="1" t="s">
        <v>377</v>
      </c>
      <c r="B16" s="1" t="s">
        <v>378</v>
      </c>
      <c r="C16" s="1">
        <v>11</v>
      </c>
      <c r="D16" s="1" t="s">
        <v>350</v>
      </c>
      <c r="E16" s="1" t="s">
        <v>351</v>
      </c>
      <c r="F16" s="1"/>
      <c r="G16" s="29"/>
      <c r="H16" s="29"/>
      <c r="I16" s="29"/>
      <c r="J16" s="29"/>
    </row>
    <row r="17" spans="1:10" ht="22" customHeight="1">
      <c r="A17" s="1" t="s">
        <v>379</v>
      </c>
      <c r="B17" s="1" t="s">
        <v>380</v>
      </c>
      <c r="C17" s="1">
        <v>9</v>
      </c>
      <c r="D17" s="1" t="s">
        <v>350</v>
      </c>
      <c r="E17" s="1" t="s">
        <v>351</v>
      </c>
      <c r="F17" s="1"/>
      <c r="G17" s="29" t="s">
        <v>381</v>
      </c>
      <c r="H17" s="29"/>
      <c r="I17" s="29"/>
      <c r="J17" s="29"/>
    </row>
    <row r="18" spans="1:10" ht="22" customHeight="1">
      <c r="A18" s="1" t="s">
        <v>382</v>
      </c>
      <c r="B18" s="1" t="s">
        <v>383</v>
      </c>
      <c r="C18" s="1">
        <v>9</v>
      </c>
      <c r="D18" s="1" t="s">
        <v>350</v>
      </c>
      <c r="E18" s="1" t="s">
        <v>351</v>
      </c>
      <c r="F18" s="1"/>
      <c r="G18" s="29"/>
      <c r="H18" s="29"/>
      <c r="I18" s="29"/>
      <c r="J18" s="29"/>
    </row>
    <row r="19" spans="1:10" ht="22" customHeight="1">
      <c r="A19" s="1" t="s">
        <v>384</v>
      </c>
      <c r="B19" s="1" t="s">
        <v>385</v>
      </c>
      <c r="C19" s="1">
        <v>9</v>
      </c>
      <c r="D19" s="1" t="s">
        <v>350</v>
      </c>
      <c r="E19" s="1" t="s">
        <v>351</v>
      </c>
      <c r="F19" s="1"/>
      <c r="G19" s="29"/>
      <c r="H19" s="29"/>
      <c r="I19" s="29"/>
      <c r="J19" s="29"/>
    </row>
    <row r="20" spans="1:10" ht="22" customHeight="1">
      <c r="A20" s="1" t="s">
        <v>386</v>
      </c>
      <c r="B20" s="1" t="s">
        <v>387</v>
      </c>
      <c r="C20" s="1">
        <v>9</v>
      </c>
      <c r="D20" s="1" t="s">
        <v>350</v>
      </c>
      <c r="E20" s="1" t="s">
        <v>351</v>
      </c>
      <c r="F20" s="1"/>
      <c r="G20" s="29" t="s">
        <v>388</v>
      </c>
      <c r="H20" s="29"/>
      <c r="I20" s="29"/>
      <c r="J20" s="29"/>
    </row>
    <row r="21" spans="1:10" ht="22" customHeight="1">
      <c r="A21" s="1" t="s">
        <v>389</v>
      </c>
      <c r="B21" s="1" t="s">
        <v>390</v>
      </c>
      <c r="C21" s="1">
        <v>9</v>
      </c>
      <c r="D21" s="1" t="s">
        <v>350</v>
      </c>
      <c r="E21" s="1" t="s">
        <v>351</v>
      </c>
      <c r="F21" s="1"/>
      <c r="G21" s="29"/>
      <c r="H21" s="29"/>
      <c r="I21" s="29"/>
      <c r="J21" s="29"/>
    </row>
    <row r="22" spans="1:10" ht="22" customHeight="1">
      <c r="A22" s="1" t="s">
        <v>391</v>
      </c>
      <c r="B22" s="1" t="s">
        <v>392</v>
      </c>
      <c r="C22" s="1">
        <v>8</v>
      </c>
      <c r="D22" s="1" t="s">
        <v>350</v>
      </c>
      <c r="E22" s="1" t="s">
        <v>351</v>
      </c>
      <c r="F22" s="1"/>
      <c r="G22" s="29"/>
      <c r="H22" s="29"/>
      <c r="I22" s="29"/>
      <c r="J22" s="29"/>
    </row>
    <row r="23" spans="1:10" ht="22" customHeight="1">
      <c r="A23" s="1" t="s">
        <v>393</v>
      </c>
      <c r="B23" s="1" t="s">
        <v>394</v>
      </c>
      <c r="C23" s="1">
        <v>8</v>
      </c>
      <c r="D23" s="1" t="s">
        <v>350</v>
      </c>
      <c r="E23" s="1" t="s">
        <v>351</v>
      </c>
      <c r="F23" s="1"/>
      <c r="G23" s="29" t="s">
        <v>395</v>
      </c>
      <c r="H23" s="29"/>
      <c r="I23" s="29"/>
      <c r="J23" s="29"/>
    </row>
    <row r="24" spans="1:10" ht="22" customHeight="1">
      <c r="A24" s="1" t="s">
        <v>396</v>
      </c>
      <c r="B24" s="1" t="s">
        <v>397</v>
      </c>
      <c r="C24" s="1">
        <v>8</v>
      </c>
      <c r="D24" s="1" t="s">
        <v>350</v>
      </c>
      <c r="E24" s="1" t="s">
        <v>351</v>
      </c>
      <c r="F24" s="1"/>
      <c r="G24" s="29"/>
      <c r="H24" s="29"/>
      <c r="I24" s="29"/>
      <c r="J24" s="29"/>
    </row>
    <row r="25" spans="1:10" ht="22" customHeight="1">
      <c r="A25" s="1" t="s">
        <v>398</v>
      </c>
      <c r="B25" s="1" t="s">
        <v>399</v>
      </c>
      <c r="C25" s="1">
        <v>9</v>
      </c>
      <c r="D25" s="1" t="s">
        <v>350</v>
      </c>
      <c r="E25" s="1" t="s">
        <v>351</v>
      </c>
      <c r="F25" s="1"/>
      <c r="G25" s="29"/>
      <c r="H25" s="29"/>
      <c r="I25" s="29"/>
      <c r="J25" s="29"/>
    </row>
    <row r="26" spans="1:10" ht="22" customHeight="1">
      <c r="A26" s="1" t="s">
        <v>400</v>
      </c>
      <c r="B26" s="1" t="s">
        <v>401</v>
      </c>
      <c r="C26" s="1">
        <v>9</v>
      </c>
      <c r="D26" s="1" t="s">
        <v>350</v>
      </c>
      <c r="E26" s="1" t="s">
        <v>351</v>
      </c>
      <c r="F26" s="1"/>
      <c r="G26" s="1"/>
      <c r="H26" s="1"/>
      <c r="I26" s="1"/>
      <c r="J26" s="1"/>
    </row>
    <row r="27" spans="1:10" ht="22" customHeight="1">
      <c r="A27" s="1" t="s">
        <v>402</v>
      </c>
      <c r="B27" s="1" t="s">
        <v>403</v>
      </c>
      <c r="C27" s="1">
        <v>9</v>
      </c>
      <c r="D27" s="1" t="s">
        <v>350</v>
      </c>
      <c r="E27" s="1" t="s">
        <v>351</v>
      </c>
      <c r="F27" s="1"/>
      <c r="G27" s="29" t="s">
        <v>404</v>
      </c>
      <c r="H27" s="29"/>
      <c r="I27" s="29"/>
      <c r="J27" s="29"/>
    </row>
    <row r="28" spans="1:10" ht="22" customHeight="1">
      <c r="A28" s="1" t="s">
        <v>405</v>
      </c>
      <c r="B28" s="1" t="s">
        <v>406</v>
      </c>
      <c r="C28" s="1">
        <v>9</v>
      </c>
      <c r="D28" s="1" t="s">
        <v>350</v>
      </c>
      <c r="E28" s="1" t="s">
        <v>351</v>
      </c>
      <c r="F28" s="1"/>
      <c r="G28" s="29"/>
      <c r="H28" s="29"/>
      <c r="I28" s="29"/>
      <c r="J28" s="29"/>
    </row>
    <row r="29" spans="1:10" ht="22" customHeight="1">
      <c r="A29" s="1" t="s">
        <v>407</v>
      </c>
      <c r="B29" s="1" t="s">
        <v>408</v>
      </c>
      <c r="C29" s="1">
        <v>9</v>
      </c>
      <c r="D29" s="1" t="s">
        <v>350</v>
      </c>
      <c r="E29" s="1" t="s">
        <v>351</v>
      </c>
      <c r="F29" s="1"/>
      <c r="G29" s="29"/>
      <c r="H29" s="29"/>
      <c r="I29" s="29"/>
      <c r="J29" s="29"/>
    </row>
    <row r="30" spans="1:10" ht="22" customHeight="1">
      <c r="A30" s="1" t="s">
        <v>409</v>
      </c>
      <c r="B30" s="1" t="s">
        <v>410</v>
      </c>
      <c r="C30" s="1">
        <v>8.5</v>
      </c>
      <c r="D30" s="1" t="s">
        <v>350</v>
      </c>
      <c r="E30" s="1" t="s">
        <v>351</v>
      </c>
      <c r="F30" s="1"/>
      <c r="G30" s="1"/>
      <c r="H30" s="1"/>
      <c r="I30" s="1"/>
      <c r="J30" s="1"/>
    </row>
    <row r="31" spans="1:10" ht="22" customHeight="1">
      <c r="A31" s="1" t="s">
        <v>411</v>
      </c>
      <c r="B31" s="1" t="s">
        <v>412</v>
      </c>
      <c r="C31" s="1">
        <v>8</v>
      </c>
      <c r="D31" s="1" t="s">
        <v>350</v>
      </c>
      <c r="E31" s="1" t="s">
        <v>351</v>
      </c>
      <c r="F31" s="1"/>
      <c r="G31" s="29" t="s">
        <v>413</v>
      </c>
      <c r="H31" s="29"/>
      <c r="I31" s="29"/>
      <c r="J31" s="29"/>
    </row>
    <row r="32" spans="1:10" ht="22" customHeight="1">
      <c r="A32" s="1" t="s">
        <v>414</v>
      </c>
      <c r="B32" s="1" t="s">
        <v>415</v>
      </c>
      <c r="C32" s="1">
        <v>9</v>
      </c>
      <c r="D32" s="1" t="s">
        <v>350</v>
      </c>
      <c r="E32" s="1" t="s">
        <v>351</v>
      </c>
      <c r="F32" s="1"/>
      <c r="G32" s="29"/>
      <c r="H32" s="29"/>
      <c r="I32" s="29"/>
      <c r="J32" s="29"/>
    </row>
    <row r="33" spans="1:10" ht="22" customHeight="1">
      <c r="A33" s="1" t="s">
        <v>416</v>
      </c>
      <c r="B33" s="1" t="s">
        <v>417</v>
      </c>
      <c r="C33" s="1">
        <v>9</v>
      </c>
      <c r="D33" s="1" t="s">
        <v>350</v>
      </c>
      <c r="E33" s="1" t="s">
        <v>351</v>
      </c>
      <c r="F33" s="1"/>
      <c r="G33" s="29"/>
      <c r="H33" s="29"/>
      <c r="I33" s="29"/>
      <c r="J33" s="29"/>
    </row>
    <row r="34" spans="1:10" ht="22" customHeight="1">
      <c r="A34" s="1" t="s">
        <v>418</v>
      </c>
      <c r="B34" s="1" t="s">
        <v>419</v>
      </c>
      <c r="C34" s="1">
        <v>8</v>
      </c>
      <c r="D34" s="1" t="s">
        <v>350</v>
      </c>
      <c r="E34" s="1" t="s">
        <v>351</v>
      </c>
      <c r="F34" s="1"/>
      <c r="G34" s="1"/>
      <c r="H34" s="1"/>
      <c r="I34" s="1"/>
      <c r="J34" s="1"/>
    </row>
    <row r="35" spans="1:10" ht="22" customHeight="1">
      <c r="A35" s="1" t="s">
        <v>420</v>
      </c>
      <c r="B35" s="1" t="s">
        <v>421</v>
      </c>
      <c r="C35" s="1">
        <v>9</v>
      </c>
      <c r="D35" s="1" t="s">
        <v>350</v>
      </c>
      <c r="E35" s="1" t="s">
        <v>351</v>
      </c>
      <c r="F35" s="1"/>
      <c r="G35" s="1"/>
      <c r="H35" s="1"/>
      <c r="I35" s="1"/>
      <c r="J35" s="1"/>
    </row>
    <row r="36" spans="1:10" ht="22" customHeight="1">
      <c r="A36" s="1" t="s">
        <v>422</v>
      </c>
      <c r="B36" s="1" t="s">
        <v>423</v>
      </c>
      <c r="C36" s="1">
        <v>8.5</v>
      </c>
      <c r="D36" s="1" t="s">
        <v>350</v>
      </c>
      <c r="E36" s="1" t="s">
        <v>351</v>
      </c>
      <c r="F36" s="1"/>
      <c r="G36" s="29" t="s">
        <v>424</v>
      </c>
      <c r="H36" s="29"/>
      <c r="I36" s="29"/>
      <c r="J36" s="29"/>
    </row>
    <row r="37" spans="1:10" ht="22" customHeight="1">
      <c r="A37" s="1" t="s">
        <v>425</v>
      </c>
      <c r="B37" s="1" t="s">
        <v>426</v>
      </c>
      <c r="C37" s="1">
        <v>8</v>
      </c>
      <c r="D37" s="1" t="s">
        <v>350</v>
      </c>
      <c r="E37" s="1" t="s">
        <v>351</v>
      </c>
      <c r="F37" s="1"/>
      <c r="G37" s="29"/>
      <c r="H37" s="29"/>
      <c r="I37" s="29"/>
      <c r="J37" s="29"/>
    </row>
    <row r="38" spans="1:10" ht="22" customHeight="1">
      <c r="A38" s="1" t="s">
        <v>427</v>
      </c>
      <c r="B38" s="1" t="s">
        <v>428</v>
      </c>
      <c r="C38" s="1">
        <v>9</v>
      </c>
      <c r="D38" s="1" t="s">
        <v>350</v>
      </c>
      <c r="E38" s="1" t="s">
        <v>351</v>
      </c>
      <c r="F38" s="1"/>
      <c r="G38" s="29"/>
      <c r="H38" s="29"/>
      <c r="I38" s="29"/>
      <c r="J38" s="29"/>
    </row>
    <row r="39" spans="1:10" ht="22" customHeight="1">
      <c r="A39" s="1" t="s">
        <v>429</v>
      </c>
      <c r="B39" s="1" t="s">
        <v>430</v>
      </c>
      <c r="C39" s="1">
        <v>9</v>
      </c>
      <c r="D39" s="1" t="s">
        <v>350</v>
      </c>
      <c r="E39" s="1" t="s">
        <v>351</v>
      </c>
      <c r="F39" s="1"/>
      <c r="G39" s="1"/>
      <c r="H39" s="1"/>
      <c r="I39" s="1"/>
      <c r="J39" s="1"/>
    </row>
    <row r="40" spans="1:10" ht="22" customHeight="1">
      <c r="A40" s="1" t="s">
        <v>431</v>
      </c>
      <c r="B40" s="1" t="s">
        <v>432</v>
      </c>
      <c r="C40" s="1">
        <v>10.5</v>
      </c>
      <c r="D40" s="1" t="s">
        <v>350</v>
      </c>
      <c r="E40" s="1" t="s">
        <v>351</v>
      </c>
      <c r="F40" s="1"/>
      <c r="G40" s="1"/>
      <c r="H40" s="1"/>
      <c r="I40" s="1"/>
      <c r="J40" s="1"/>
    </row>
    <row r="41" spans="1:10" ht="22" customHeight="1">
      <c r="A41" s="1" t="s">
        <v>433</v>
      </c>
      <c r="B41" s="1" t="s">
        <v>434</v>
      </c>
      <c r="C41" s="1">
        <v>8</v>
      </c>
      <c r="D41" s="1" t="s">
        <v>350</v>
      </c>
      <c r="E41" s="1" t="s">
        <v>351</v>
      </c>
      <c r="F41" s="1"/>
      <c r="G41" s="1"/>
      <c r="H41" s="1"/>
      <c r="I41" s="1"/>
      <c r="J41" s="1"/>
    </row>
    <row r="42" spans="1:10" ht="22" customHeight="1">
      <c r="A42" s="1" t="s">
        <v>435</v>
      </c>
      <c r="B42" s="1" t="s">
        <v>436</v>
      </c>
      <c r="C42" s="1">
        <v>10</v>
      </c>
      <c r="D42" s="1" t="s">
        <v>350</v>
      </c>
      <c r="E42" s="1" t="s">
        <v>351</v>
      </c>
      <c r="F42" s="1"/>
      <c r="G42" s="29" t="s">
        <v>437</v>
      </c>
      <c r="H42" s="29"/>
      <c r="I42" s="29"/>
      <c r="J42" s="29"/>
    </row>
    <row r="43" spans="1:10" ht="22" customHeight="1">
      <c r="A43" s="1" t="s">
        <v>438</v>
      </c>
      <c r="B43" s="1" t="s">
        <v>439</v>
      </c>
      <c r="C43" s="1">
        <v>8</v>
      </c>
      <c r="D43" s="1" t="s">
        <v>350</v>
      </c>
      <c r="E43" s="1" t="s">
        <v>351</v>
      </c>
      <c r="F43" s="1"/>
      <c r="G43" s="29"/>
      <c r="H43" s="29"/>
      <c r="I43" s="29"/>
      <c r="J43" s="29"/>
    </row>
    <row r="44" spans="1:10" ht="22" customHeight="1">
      <c r="A44" s="1" t="s">
        <v>440</v>
      </c>
      <c r="B44" s="1" t="s">
        <v>441</v>
      </c>
      <c r="C44" s="1">
        <v>8.5</v>
      </c>
      <c r="D44" s="1" t="s">
        <v>350</v>
      </c>
      <c r="E44" s="1" t="s">
        <v>351</v>
      </c>
      <c r="F44" s="1"/>
      <c r="G44" s="29"/>
      <c r="H44" s="29"/>
      <c r="I44" s="29"/>
      <c r="J44" s="29"/>
    </row>
    <row r="45" spans="1:10" ht="22" customHeight="1">
      <c r="A45" s="1" t="s">
        <v>442</v>
      </c>
      <c r="B45" s="1" t="s">
        <v>443</v>
      </c>
      <c r="C45" s="1">
        <v>8.5</v>
      </c>
      <c r="D45" s="1" t="s">
        <v>350</v>
      </c>
      <c r="E45" s="1" t="s">
        <v>351</v>
      </c>
      <c r="F45" s="1"/>
      <c r="G45" s="1"/>
      <c r="H45" s="1"/>
      <c r="I45" s="1"/>
      <c r="J45" s="1"/>
    </row>
    <row r="46" spans="1:10" ht="22" customHeight="1">
      <c r="A46" s="1" t="s">
        <v>444</v>
      </c>
      <c r="B46" s="1" t="s">
        <v>445</v>
      </c>
      <c r="C46" s="1">
        <v>8</v>
      </c>
      <c r="D46" s="1" t="s">
        <v>350</v>
      </c>
      <c r="E46" s="1" t="s">
        <v>351</v>
      </c>
      <c r="F46" s="1"/>
      <c r="G46" s="1"/>
      <c r="H46" s="1"/>
      <c r="I46" s="1"/>
      <c r="J46" s="1"/>
    </row>
    <row r="47" spans="1:10" ht="22" customHeight="1">
      <c r="A47" s="1" t="s">
        <v>446</v>
      </c>
      <c r="B47" s="1" t="s">
        <v>447</v>
      </c>
      <c r="C47" s="1">
        <v>8</v>
      </c>
      <c r="D47" s="1" t="s">
        <v>350</v>
      </c>
      <c r="E47" s="1" t="s">
        <v>351</v>
      </c>
      <c r="F47" s="1"/>
      <c r="G47" s="1"/>
      <c r="H47" s="1"/>
      <c r="I47" s="1"/>
      <c r="J47" s="1"/>
    </row>
    <row r="48" spans="1:10" ht="22" customHeight="1">
      <c r="A48" s="1" t="s">
        <v>448</v>
      </c>
      <c r="B48" s="1" t="s">
        <v>449</v>
      </c>
      <c r="C48" s="1">
        <v>7</v>
      </c>
      <c r="D48" s="1" t="s">
        <v>350</v>
      </c>
      <c r="E48" s="1" t="s">
        <v>351</v>
      </c>
      <c r="F48" s="1"/>
      <c r="G48" s="1"/>
      <c r="H48" s="1"/>
      <c r="I48" s="1"/>
      <c r="J48" s="1"/>
    </row>
    <row r="49" spans="1:10" ht="22" customHeight="1">
      <c r="A49" s="1" t="s">
        <v>450</v>
      </c>
      <c r="B49" s="1" t="s">
        <v>451</v>
      </c>
      <c r="C49" s="1">
        <v>8.5</v>
      </c>
      <c r="D49" s="1" t="s">
        <v>350</v>
      </c>
      <c r="E49" s="1" t="s">
        <v>351</v>
      </c>
      <c r="F49" s="1"/>
      <c r="G49" s="1"/>
      <c r="H49" s="1"/>
      <c r="I49" s="1"/>
      <c r="J49" s="1"/>
    </row>
    <row r="50" spans="1:10" ht="22" customHeight="1">
      <c r="A50" s="1" t="s">
        <v>452</v>
      </c>
      <c r="B50" s="1" t="s">
        <v>453</v>
      </c>
      <c r="C50" s="1">
        <v>8</v>
      </c>
      <c r="D50" s="1" t="s">
        <v>350</v>
      </c>
      <c r="E50" s="1" t="s">
        <v>351</v>
      </c>
      <c r="F50" s="1"/>
      <c r="G50" s="1"/>
      <c r="H50" s="1"/>
      <c r="I50" s="1"/>
      <c r="J50" s="1"/>
    </row>
    <row r="51" spans="1:10" ht="22" customHeight="1">
      <c r="A51" s="1" t="s">
        <v>454</v>
      </c>
      <c r="B51" s="1" t="s">
        <v>455</v>
      </c>
      <c r="C51" s="1">
        <v>9</v>
      </c>
      <c r="D51" s="1" t="s">
        <v>350</v>
      </c>
      <c r="E51" s="1" t="s">
        <v>351</v>
      </c>
      <c r="F51" s="1"/>
      <c r="G51" s="1"/>
      <c r="H51" s="1"/>
      <c r="I51" s="1"/>
      <c r="J51" s="1"/>
    </row>
    <row r="52" spans="1:10" ht="22" customHeight="1">
      <c r="A52" s="1" t="s">
        <v>456</v>
      </c>
      <c r="B52" s="1" t="s">
        <v>457</v>
      </c>
      <c r="C52" s="1">
        <v>9</v>
      </c>
      <c r="D52" s="1" t="s">
        <v>350</v>
      </c>
      <c r="E52" s="1" t="s">
        <v>351</v>
      </c>
      <c r="F52" s="1"/>
      <c r="G52" s="1"/>
      <c r="H52" s="1"/>
      <c r="I52" s="1"/>
      <c r="J52" s="1"/>
    </row>
    <row r="53" spans="1:10" ht="22" customHeight="1">
      <c r="A53" s="1" t="s">
        <v>458</v>
      </c>
      <c r="B53" s="1" t="s">
        <v>459</v>
      </c>
      <c r="C53" s="1">
        <v>9</v>
      </c>
      <c r="D53" s="1" t="s">
        <v>350</v>
      </c>
      <c r="E53" s="1" t="s">
        <v>351</v>
      </c>
      <c r="F53" s="1"/>
      <c r="G53" s="1"/>
      <c r="H53" s="1"/>
      <c r="I53" s="1"/>
      <c r="J53" s="1"/>
    </row>
    <row r="54" spans="1:10" ht="22" customHeight="1">
      <c r="A54" s="1" t="s">
        <v>460</v>
      </c>
      <c r="B54" s="1" t="s">
        <v>461</v>
      </c>
      <c r="C54" s="1">
        <v>8.5</v>
      </c>
      <c r="D54" s="1" t="s">
        <v>350</v>
      </c>
      <c r="E54" s="1" t="s">
        <v>351</v>
      </c>
      <c r="F54" s="1"/>
      <c r="G54" s="1"/>
      <c r="H54" s="1"/>
      <c r="I54" s="1"/>
      <c r="J54" s="1"/>
    </row>
    <row r="55" spans="1:10" ht="22" customHeight="1">
      <c r="A55" s="1" t="s">
        <v>462</v>
      </c>
      <c r="B55" s="1" t="s">
        <v>463</v>
      </c>
      <c r="C55" s="1">
        <v>8</v>
      </c>
      <c r="D55" s="1" t="s">
        <v>350</v>
      </c>
      <c r="E55" s="1" t="s">
        <v>351</v>
      </c>
      <c r="F55" s="1"/>
      <c r="G55" s="1"/>
      <c r="H55" s="1"/>
      <c r="I55" s="1"/>
      <c r="J55" s="1"/>
    </row>
    <row r="56" spans="1:10" ht="22" customHeight="1">
      <c r="A56" s="1" t="s">
        <v>464</v>
      </c>
      <c r="B56" s="1" t="s">
        <v>465</v>
      </c>
      <c r="C56" s="1">
        <v>8.5</v>
      </c>
      <c r="D56" s="1" t="s">
        <v>350</v>
      </c>
      <c r="E56" s="1" t="s">
        <v>351</v>
      </c>
      <c r="F56" s="1"/>
      <c r="G56" s="1"/>
      <c r="H56" s="1"/>
      <c r="I56" s="1"/>
      <c r="J56" s="1"/>
    </row>
    <row r="57" spans="1:10" ht="22" customHeight="1">
      <c r="A57" s="1" t="s">
        <v>466</v>
      </c>
      <c r="B57" s="1" t="s">
        <v>467</v>
      </c>
      <c r="C57" s="1">
        <v>7</v>
      </c>
      <c r="D57" s="1" t="s">
        <v>350</v>
      </c>
      <c r="E57" s="1" t="s">
        <v>351</v>
      </c>
      <c r="F57" s="1"/>
      <c r="G57" s="1"/>
      <c r="H57" s="1"/>
      <c r="I57" s="1"/>
      <c r="J57" s="1"/>
    </row>
    <row r="58" spans="1:10" ht="22" customHeight="1">
      <c r="A58" s="1" t="s">
        <v>468</v>
      </c>
      <c r="B58" s="1" t="s">
        <v>469</v>
      </c>
      <c r="C58" s="1">
        <v>8</v>
      </c>
      <c r="D58" s="1" t="s">
        <v>350</v>
      </c>
      <c r="E58" s="1" t="s">
        <v>351</v>
      </c>
      <c r="F58" s="1"/>
      <c r="G58" s="1"/>
      <c r="H58" s="1"/>
      <c r="I58" s="1"/>
      <c r="J58" s="1"/>
    </row>
    <row r="59" spans="1:10" ht="22" customHeight="1">
      <c r="A59" s="1" t="s">
        <v>470</v>
      </c>
      <c r="B59" s="1" t="s">
        <v>471</v>
      </c>
      <c r="C59" s="1">
        <v>8</v>
      </c>
      <c r="D59" s="1" t="s">
        <v>350</v>
      </c>
      <c r="E59" s="1" t="s">
        <v>351</v>
      </c>
      <c r="F59" s="1"/>
      <c r="G59" s="1"/>
      <c r="H59" s="1"/>
      <c r="I59" s="1"/>
      <c r="J59" s="1"/>
    </row>
    <row r="60" spans="1:10" ht="22" customHeight="1">
      <c r="A60" s="1" t="s">
        <v>472</v>
      </c>
      <c r="B60" s="1" t="s">
        <v>473</v>
      </c>
      <c r="C60" s="1">
        <v>7</v>
      </c>
      <c r="D60" s="1" t="s">
        <v>350</v>
      </c>
      <c r="E60" s="1" t="s">
        <v>351</v>
      </c>
      <c r="F60" s="1"/>
      <c r="G60" s="1"/>
      <c r="H60" s="1"/>
      <c r="I60" s="1"/>
      <c r="J60" s="1"/>
    </row>
    <row r="61" spans="1:10" ht="22" customHeight="1">
      <c r="A61" s="1" t="s">
        <v>474</v>
      </c>
      <c r="B61" s="1" t="s">
        <v>475</v>
      </c>
      <c r="C61" s="1">
        <v>8</v>
      </c>
      <c r="D61" s="1" t="s">
        <v>350</v>
      </c>
      <c r="E61" s="1" t="s">
        <v>351</v>
      </c>
      <c r="F61" s="1"/>
      <c r="G61" s="1"/>
      <c r="H61" s="1"/>
      <c r="I61" s="1"/>
      <c r="J61" s="1"/>
    </row>
    <row r="62" spans="1:10" ht="22" customHeight="1">
      <c r="A62" s="1" t="s">
        <v>476</v>
      </c>
      <c r="B62" s="1" t="s">
        <v>477</v>
      </c>
      <c r="C62" s="1">
        <v>7</v>
      </c>
      <c r="D62" s="1" t="s">
        <v>350</v>
      </c>
      <c r="E62" s="1" t="s">
        <v>351</v>
      </c>
      <c r="F62" s="1"/>
      <c r="G62" s="1"/>
      <c r="H62" s="1"/>
      <c r="I62" s="1"/>
      <c r="J62" s="1"/>
    </row>
    <row r="63" spans="1:10" ht="22" customHeight="1">
      <c r="A63" s="1" t="s">
        <v>478</v>
      </c>
      <c r="B63" s="1" t="s">
        <v>479</v>
      </c>
      <c r="C63" s="1">
        <v>7.5</v>
      </c>
      <c r="D63" s="1" t="s">
        <v>350</v>
      </c>
      <c r="E63" s="1" t="s">
        <v>351</v>
      </c>
      <c r="F63" s="1"/>
      <c r="G63" s="1"/>
      <c r="H63" s="1"/>
      <c r="I63" s="1"/>
      <c r="J63" s="1"/>
    </row>
    <row r="64" spans="1:10" ht="22" customHeight="1">
      <c r="A64" s="1" t="s">
        <v>480</v>
      </c>
      <c r="B64" s="1" t="s">
        <v>481</v>
      </c>
      <c r="C64" s="1">
        <v>8</v>
      </c>
      <c r="D64" s="1" t="s">
        <v>350</v>
      </c>
      <c r="E64" s="1" t="s">
        <v>351</v>
      </c>
      <c r="F64" s="1"/>
      <c r="G64" s="1"/>
      <c r="H64" s="1"/>
      <c r="I64" s="1"/>
      <c r="J64" s="1"/>
    </row>
    <row r="65" spans="1:10" ht="22" customHeight="1">
      <c r="A65" s="1" t="s">
        <v>482</v>
      </c>
      <c r="B65" s="1" t="s">
        <v>483</v>
      </c>
      <c r="C65" s="1">
        <v>8</v>
      </c>
      <c r="D65" s="1" t="s">
        <v>350</v>
      </c>
      <c r="E65" s="1" t="s">
        <v>351</v>
      </c>
      <c r="F65" s="1"/>
      <c r="G65" s="1"/>
      <c r="H65" s="1"/>
      <c r="I65" s="1"/>
      <c r="J65" s="1"/>
    </row>
    <row r="66" spans="1:10" ht="22" customHeight="1">
      <c r="A66" s="1" t="s">
        <v>484</v>
      </c>
      <c r="B66" s="1" t="s">
        <v>485</v>
      </c>
      <c r="C66" s="1">
        <v>8</v>
      </c>
      <c r="D66" s="1" t="s">
        <v>350</v>
      </c>
      <c r="E66" s="1" t="s">
        <v>351</v>
      </c>
      <c r="F66" s="1"/>
      <c r="G66" s="1"/>
      <c r="H66" s="1"/>
      <c r="I66" s="1"/>
      <c r="J66" s="1"/>
    </row>
    <row r="67" spans="1:10" ht="22" customHeight="1">
      <c r="A67" s="1" t="s">
        <v>486</v>
      </c>
      <c r="B67" s="1" t="s">
        <v>487</v>
      </c>
      <c r="C67" s="1">
        <v>8</v>
      </c>
      <c r="D67" s="1" t="s">
        <v>350</v>
      </c>
      <c r="E67" s="1" t="s">
        <v>351</v>
      </c>
      <c r="F67" s="1"/>
      <c r="G67" s="1"/>
      <c r="H67" s="1"/>
      <c r="I67" s="1"/>
      <c r="J67" s="1"/>
    </row>
    <row r="68" spans="1:10" ht="22" customHeight="1">
      <c r="A68" s="1" t="s">
        <v>488</v>
      </c>
      <c r="B68" s="1" t="s">
        <v>489</v>
      </c>
      <c r="C68" s="1">
        <v>7.5</v>
      </c>
      <c r="D68" s="1" t="s">
        <v>350</v>
      </c>
      <c r="E68" s="1" t="s">
        <v>351</v>
      </c>
      <c r="F68" s="1"/>
      <c r="G68" s="1"/>
      <c r="H68" s="1"/>
      <c r="I68" s="1"/>
      <c r="J68" s="1"/>
    </row>
    <row r="69" spans="1:10" ht="22" customHeight="1">
      <c r="A69" s="1" t="s">
        <v>490</v>
      </c>
      <c r="B69" s="1" t="s">
        <v>491</v>
      </c>
      <c r="C69" s="1">
        <v>7</v>
      </c>
      <c r="D69" s="1" t="s">
        <v>350</v>
      </c>
      <c r="E69" s="1" t="s">
        <v>351</v>
      </c>
      <c r="F69" s="1"/>
      <c r="G69" s="1"/>
      <c r="H69" s="1"/>
      <c r="I69" s="1"/>
      <c r="J69" s="1"/>
    </row>
    <row r="70" spans="1:10" ht="22" customHeight="1">
      <c r="A70" s="1" t="s">
        <v>492</v>
      </c>
      <c r="B70" s="1" t="s">
        <v>493</v>
      </c>
      <c r="C70" s="1">
        <v>9</v>
      </c>
      <c r="D70" s="1" t="s">
        <v>350</v>
      </c>
      <c r="E70" s="1" t="s">
        <v>351</v>
      </c>
      <c r="F70" s="1"/>
      <c r="G70" s="1"/>
      <c r="H70" s="1"/>
      <c r="I70" s="1"/>
      <c r="J70" s="1"/>
    </row>
    <row r="71" spans="1:10" ht="22" customHeight="1">
      <c r="A71" s="1" t="s">
        <v>494</v>
      </c>
      <c r="B71" s="1" t="s">
        <v>495</v>
      </c>
      <c r="C71" s="1">
        <v>8</v>
      </c>
      <c r="D71" s="1" t="s">
        <v>350</v>
      </c>
      <c r="E71" s="1" t="s">
        <v>351</v>
      </c>
      <c r="F71" s="1"/>
      <c r="G71" s="1"/>
      <c r="H71" s="1"/>
      <c r="I71" s="1"/>
      <c r="J71" s="1"/>
    </row>
    <row r="72" spans="1:10" ht="22" customHeight="1">
      <c r="A72" s="1" t="s">
        <v>496</v>
      </c>
      <c r="B72" s="1" t="s">
        <v>497</v>
      </c>
      <c r="C72" s="1">
        <v>8</v>
      </c>
      <c r="D72" s="1" t="s">
        <v>350</v>
      </c>
      <c r="E72" s="1" t="s">
        <v>351</v>
      </c>
      <c r="F72" s="1"/>
      <c r="G72" s="1"/>
      <c r="H72" s="1"/>
      <c r="I72" s="1"/>
      <c r="J72" s="1"/>
    </row>
    <row r="73" spans="1:10" ht="22" customHeight="1">
      <c r="A73" s="1" t="s">
        <v>498</v>
      </c>
      <c r="B73" s="1" t="s">
        <v>499</v>
      </c>
      <c r="C73" s="1">
        <v>10</v>
      </c>
      <c r="D73" s="1" t="s">
        <v>350</v>
      </c>
      <c r="E73" s="1" t="s">
        <v>351</v>
      </c>
      <c r="F73" s="1"/>
      <c r="G73" s="1"/>
      <c r="H73" s="1"/>
      <c r="I73" s="1"/>
      <c r="J73" s="1"/>
    </row>
    <row r="74" spans="1:10" ht="22" customHeight="1">
      <c r="A74" s="1" t="s">
        <v>500</v>
      </c>
      <c r="B74" s="1" t="s">
        <v>501</v>
      </c>
      <c r="C74" s="1">
        <v>7</v>
      </c>
      <c r="D74" s="1" t="s">
        <v>350</v>
      </c>
      <c r="E74" s="1" t="s">
        <v>351</v>
      </c>
      <c r="F74" s="1"/>
      <c r="G74" s="1"/>
      <c r="H74" s="1"/>
      <c r="I74" s="1"/>
      <c r="J74" s="1"/>
    </row>
    <row r="75" spans="1:10" ht="22" customHeight="1">
      <c r="A75" s="1" t="s">
        <v>502</v>
      </c>
      <c r="B75" s="1" t="s">
        <v>503</v>
      </c>
      <c r="C75" s="1">
        <v>8</v>
      </c>
      <c r="D75" s="1" t="s">
        <v>350</v>
      </c>
      <c r="E75" s="1" t="s">
        <v>351</v>
      </c>
      <c r="F75" s="1"/>
      <c r="G75" s="1"/>
      <c r="H75" s="1"/>
      <c r="I75" s="1"/>
      <c r="J75" s="1"/>
    </row>
    <row r="76" spans="1:10" ht="22" customHeight="1">
      <c r="A76" s="1" t="s">
        <v>504</v>
      </c>
      <c r="B76" s="1" t="s">
        <v>505</v>
      </c>
      <c r="C76" s="1">
        <v>8</v>
      </c>
      <c r="D76" s="1" t="s">
        <v>350</v>
      </c>
      <c r="E76" s="1" t="s">
        <v>351</v>
      </c>
      <c r="F76" s="1"/>
      <c r="G76" s="1"/>
      <c r="H76" s="1"/>
      <c r="I76" s="1"/>
      <c r="J76" s="1"/>
    </row>
    <row r="77" spans="1:10" ht="22" customHeight="1">
      <c r="A77" s="1" t="s">
        <v>506</v>
      </c>
      <c r="B77" s="1" t="s">
        <v>507</v>
      </c>
      <c r="C77" s="1">
        <v>8</v>
      </c>
      <c r="D77" s="1" t="s">
        <v>350</v>
      </c>
      <c r="E77" s="1" t="s">
        <v>351</v>
      </c>
      <c r="F77" s="1"/>
      <c r="G77" s="1"/>
      <c r="H77" s="1"/>
      <c r="I77" s="1"/>
      <c r="J77" s="1"/>
    </row>
    <row r="78" spans="1:10" ht="22" customHeight="1">
      <c r="A78" s="1" t="s">
        <v>508</v>
      </c>
      <c r="B78" s="1" t="s">
        <v>509</v>
      </c>
      <c r="C78" s="1">
        <v>8</v>
      </c>
      <c r="D78" s="1" t="s">
        <v>350</v>
      </c>
      <c r="E78" s="1" t="s">
        <v>351</v>
      </c>
      <c r="F78" s="1"/>
      <c r="G78" s="1"/>
      <c r="H78" s="1"/>
      <c r="I78" s="1"/>
      <c r="J78" s="1"/>
    </row>
    <row r="79" spans="1:10" ht="22" customHeight="1">
      <c r="A79" s="1" t="s">
        <v>510</v>
      </c>
      <c r="B79" s="1" t="s">
        <v>511</v>
      </c>
      <c r="C79" s="1">
        <v>8</v>
      </c>
      <c r="D79" s="1" t="s">
        <v>350</v>
      </c>
      <c r="E79" s="1" t="s">
        <v>351</v>
      </c>
      <c r="F79" s="1"/>
      <c r="G79" s="1"/>
      <c r="H79" s="1"/>
      <c r="I79" s="1"/>
      <c r="J79" s="1"/>
    </row>
    <row r="80" spans="1:10" ht="22" customHeight="1">
      <c r="A80" s="1" t="s">
        <v>512</v>
      </c>
      <c r="B80" s="1" t="s">
        <v>513</v>
      </c>
      <c r="C80" s="1">
        <v>8</v>
      </c>
      <c r="D80" s="1" t="s">
        <v>350</v>
      </c>
      <c r="E80" s="1" t="s">
        <v>351</v>
      </c>
      <c r="F80" s="1"/>
      <c r="G80" s="1"/>
      <c r="H80" s="1"/>
      <c r="I80" s="1"/>
      <c r="J80" s="1"/>
    </row>
    <row r="81" spans="1:10" ht="22" customHeight="1">
      <c r="A81" s="1" t="s">
        <v>514</v>
      </c>
      <c r="B81" s="1" t="s">
        <v>515</v>
      </c>
      <c r="C81" s="1">
        <v>8</v>
      </c>
      <c r="D81" s="1" t="s">
        <v>350</v>
      </c>
      <c r="E81" s="1" t="s">
        <v>351</v>
      </c>
      <c r="F81" s="1"/>
      <c r="G81" s="1"/>
      <c r="H81" s="1"/>
      <c r="I81" s="1"/>
      <c r="J81" s="1"/>
    </row>
    <row r="82" spans="1:10" ht="22" customHeight="1">
      <c r="A82" s="1" t="s">
        <v>516</v>
      </c>
      <c r="B82" s="1" t="s">
        <v>517</v>
      </c>
      <c r="C82" s="1">
        <v>7</v>
      </c>
      <c r="D82" s="1" t="s">
        <v>350</v>
      </c>
      <c r="E82" s="1" t="s">
        <v>351</v>
      </c>
      <c r="F82" s="1"/>
      <c r="G82" s="1"/>
      <c r="H82" s="1"/>
      <c r="I82" s="1"/>
      <c r="J82" s="1"/>
    </row>
    <row r="83" spans="1:10" ht="22" customHeight="1">
      <c r="A83" s="1" t="s">
        <v>518</v>
      </c>
      <c r="B83" s="1" t="s">
        <v>519</v>
      </c>
      <c r="C83" s="1">
        <v>7</v>
      </c>
      <c r="D83" s="1" t="s">
        <v>350</v>
      </c>
      <c r="E83" s="1" t="s">
        <v>351</v>
      </c>
      <c r="F83" s="1"/>
      <c r="G83" s="1"/>
      <c r="H83" s="1"/>
      <c r="I83" s="1"/>
      <c r="J83" s="1"/>
    </row>
    <row r="84" spans="1:10" ht="22" customHeight="1">
      <c r="A84" s="1" t="s">
        <v>520</v>
      </c>
      <c r="B84" s="1" t="s">
        <v>521</v>
      </c>
      <c r="C84" s="1">
        <v>9</v>
      </c>
      <c r="D84" s="1" t="s">
        <v>350</v>
      </c>
      <c r="E84" s="1" t="s">
        <v>351</v>
      </c>
      <c r="F84" s="1"/>
      <c r="G84" s="1"/>
      <c r="H84" s="1"/>
      <c r="I84" s="1"/>
      <c r="J84" s="1"/>
    </row>
    <row r="85" spans="1:10" ht="22" customHeight="1">
      <c r="A85" s="1" t="s">
        <v>522</v>
      </c>
      <c r="B85" s="1" t="s">
        <v>523</v>
      </c>
      <c r="C85" s="1">
        <v>8</v>
      </c>
      <c r="D85" s="1" t="s">
        <v>350</v>
      </c>
      <c r="E85" s="1" t="s">
        <v>351</v>
      </c>
      <c r="F85" s="1"/>
      <c r="G85" s="1"/>
      <c r="H85" s="1"/>
      <c r="I85" s="1"/>
      <c r="J85" s="1"/>
    </row>
    <row r="86" spans="1:10" ht="22" customHeight="1">
      <c r="A86" s="1" t="s">
        <v>524</v>
      </c>
      <c r="B86" s="1" t="s">
        <v>525</v>
      </c>
      <c r="C86" s="1">
        <v>7</v>
      </c>
      <c r="D86" s="1" t="s">
        <v>350</v>
      </c>
      <c r="E86" s="1" t="s">
        <v>351</v>
      </c>
      <c r="F86" s="1"/>
      <c r="G86" s="1"/>
      <c r="H86" s="1"/>
      <c r="I86" s="1"/>
      <c r="J86" s="1"/>
    </row>
    <row r="87" spans="1:10" ht="22" customHeight="1">
      <c r="A87" s="1" t="s">
        <v>526</v>
      </c>
      <c r="B87" s="1" t="s">
        <v>527</v>
      </c>
      <c r="C87" s="1">
        <v>7</v>
      </c>
      <c r="D87" s="1" t="s">
        <v>350</v>
      </c>
      <c r="E87" s="1" t="s">
        <v>351</v>
      </c>
      <c r="F87" s="1"/>
      <c r="G87" s="1"/>
      <c r="H87" s="1"/>
      <c r="I87" s="1"/>
      <c r="J87" s="1"/>
    </row>
    <row r="88" spans="1:10" ht="22" customHeight="1">
      <c r="A88" s="1" t="s">
        <v>528</v>
      </c>
      <c r="B88" s="1" t="s">
        <v>529</v>
      </c>
      <c r="C88" s="1">
        <v>8</v>
      </c>
      <c r="D88" s="1" t="s">
        <v>350</v>
      </c>
      <c r="E88" s="1" t="s">
        <v>351</v>
      </c>
      <c r="F88" s="1"/>
      <c r="G88" s="1"/>
      <c r="H88" s="1"/>
      <c r="I88" s="1"/>
      <c r="J88" s="1"/>
    </row>
    <row r="89" spans="1:10" ht="22" customHeight="1">
      <c r="A89" s="1" t="s">
        <v>530</v>
      </c>
      <c r="B89" s="1" t="s">
        <v>531</v>
      </c>
      <c r="C89" s="1">
        <v>8</v>
      </c>
      <c r="D89" s="1" t="s">
        <v>350</v>
      </c>
      <c r="E89" s="1" t="s">
        <v>351</v>
      </c>
      <c r="F89" s="1"/>
      <c r="G89" s="1"/>
      <c r="H89" s="1"/>
      <c r="I89" s="1"/>
      <c r="J89" s="1"/>
    </row>
    <row r="90" spans="1:10" ht="22" customHeight="1">
      <c r="A90" s="1" t="s">
        <v>532</v>
      </c>
      <c r="B90" s="1" t="s">
        <v>533</v>
      </c>
      <c r="C90" s="1">
        <v>8</v>
      </c>
      <c r="D90" s="1" t="s">
        <v>350</v>
      </c>
      <c r="E90" s="1" t="s">
        <v>351</v>
      </c>
      <c r="F90" s="1"/>
      <c r="G90" s="1"/>
      <c r="H90" s="1"/>
      <c r="I90" s="1"/>
      <c r="J90" s="1"/>
    </row>
    <row r="91" spans="1:10" ht="22" customHeight="1">
      <c r="A91" s="1" t="s">
        <v>534</v>
      </c>
      <c r="B91" s="1" t="s">
        <v>535</v>
      </c>
      <c r="C91" s="1">
        <v>8</v>
      </c>
      <c r="D91" s="1" t="s">
        <v>350</v>
      </c>
      <c r="E91" s="1" t="s">
        <v>351</v>
      </c>
      <c r="F91" s="1"/>
      <c r="G91" s="1"/>
      <c r="H91" s="1"/>
      <c r="I91" s="1"/>
      <c r="J91" s="1"/>
    </row>
    <row r="92" spans="1:10" ht="22" customHeight="1">
      <c r="A92" s="1" t="s">
        <v>536</v>
      </c>
      <c r="B92" s="1" t="s">
        <v>537</v>
      </c>
      <c r="C92" s="1">
        <v>8.5</v>
      </c>
      <c r="D92" s="1" t="s">
        <v>350</v>
      </c>
      <c r="E92" s="1" t="s">
        <v>351</v>
      </c>
      <c r="F92" s="1"/>
      <c r="G92" s="1"/>
      <c r="H92" s="1"/>
      <c r="I92" s="1"/>
      <c r="J92" s="1"/>
    </row>
    <row r="93" spans="1:10" ht="22" customHeight="1">
      <c r="A93" s="1" t="s">
        <v>538</v>
      </c>
      <c r="B93" s="1" t="s">
        <v>539</v>
      </c>
      <c r="C93" s="1">
        <v>8.5</v>
      </c>
      <c r="D93" s="1" t="s">
        <v>350</v>
      </c>
      <c r="E93" s="1" t="s">
        <v>351</v>
      </c>
      <c r="F93" s="1"/>
      <c r="G93" s="1"/>
      <c r="H93" s="1"/>
      <c r="I93" s="1"/>
      <c r="J93" s="1"/>
    </row>
    <row r="94" spans="1:10" ht="22" customHeight="1">
      <c r="A94" s="1" t="s">
        <v>540</v>
      </c>
      <c r="B94" s="1" t="s">
        <v>541</v>
      </c>
      <c r="C94" s="1">
        <v>9</v>
      </c>
      <c r="D94" s="1" t="s">
        <v>350</v>
      </c>
      <c r="E94" s="1" t="s">
        <v>351</v>
      </c>
      <c r="F94" s="1"/>
      <c r="G94" s="1"/>
      <c r="H94" s="1"/>
      <c r="I94" s="1"/>
      <c r="J94" s="1"/>
    </row>
    <row r="95" spans="1:10" ht="22" customHeight="1">
      <c r="A95" s="1" t="s">
        <v>542</v>
      </c>
      <c r="B95" s="1" t="s">
        <v>543</v>
      </c>
      <c r="C95" s="1">
        <v>7.5</v>
      </c>
      <c r="D95" s="1" t="s">
        <v>350</v>
      </c>
      <c r="E95" s="1" t="s">
        <v>351</v>
      </c>
      <c r="F95" s="1"/>
      <c r="G95" s="1"/>
      <c r="H95" s="1"/>
      <c r="I95" s="1"/>
      <c r="J95" s="1"/>
    </row>
    <row r="96" spans="1:10" ht="22" customHeight="1">
      <c r="A96" s="1" t="s">
        <v>544</v>
      </c>
      <c r="B96" s="1" t="s">
        <v>545</v>
      </c>
      <c r="C96" s="1">
        <v>7.5</v>
      </c>
      <c r="D96" s="1" t="s">
        <v>350</v>
      </c>
      <c r="E96" s="1" t="s">
        <v>351</v>
      </c>
      <c r="F96" s="1"/>
      <c r="G96" s="1"/>
      <c r="H96" s="1"/>
      <c r="I96" s="1"/>
      <c r="J96" s="1"/>
    </row>
    <row r="97" spans="1:10" ht="22" customHeight="1">
      <c r="A97" s="1" t="s">
        <v>546</v>
      </c>
      <c r="B97" s="1" t="s">
        <v>547</v>
      </c>
      <c r="C97" s="1">
        <v>9</v>
      </c>
      <c r="D97" s="1" t="s">
        <v>350</v>
      </c>
      <c r="E97" s="1" t="s">
        <v>351</v>
      </c>
      <c r="F97" s="1"/>
      <c r="G97" s="1"/>
      <c r="H97" s="1"/>
      <c r="I97" s="1"/>
      <c r="J97" s="1"/>
    </row>
    <row r="98" spans="1:10" ht="22" customHeight="1">
      <c r="A98" s="1" t="s">
        <v>548</v>
      </c>
      <c r="B98" s="1" t="s">
        <v>549</v>
      </c>
      <c r="C98" s="1">
        <v>8</v>
      </c>
      <c r="D98" s="1" t="s">
        <v>350</v>
      </c>
      <c r="E98" s="1" t="s">
        <v>351</v>
      </c>
      <c r="F98" s="1"/>
      <c r="G98" s="1"/>
      <c r="H98" s="1"/>
      <c r="I98" s="1"/>
      <c r="J98" s="1"/>
    </row>
    <row r="99" spans="1:10" ht="22" customHeight="1">
      <c r="A99" s="1" t="s">
        <v>550</v>
      </c>
      <c r="B99" s="1" t="s">
        <v>551</v>
      </c>
      <c r="C99" s="1">
        <v>7</v>
      </c>
      <c r="D99" s="1" t="s">
        <v>350</v>
      </c>
      <c r="E99" s="1" t="s">
        <v>351</v>
      </c>
      <c r="F99" s="1"/>
      <c r="G99" s="1"/>
      <c r="H99" s="1"/>
      <c r="I99" s="1"/>
      <c r="J99" s="1"/>
    </row>
    <row r="100" spans="1:10" ht="22" customHeight="1">
      <c r="A100" s="1" t="s">
        <v>552</v>
      </c>
      <c r="B100" s="1" t="s">
        <v>553</v>
      </c>
      <c r="C100" s="1">
        <v>8</v>
      </c>
      <c r="D100" s="1" t="s">
        <v>350</v>
      </c>
      <c r="E100" s="1" t="s">
        <v>351</v>
      </c>
      <c r="F100" s="1"/>
      <c r="G100" s="1"/>
      <c r="H100" s="1"/>
      <c r="I100" s="1"/>
      <c r="J100" s="1"/>
    </row>
    <row r="101" spans="1:10" ht="22" customHeight="1">
      <c r="A101" s="1" t="s">
        <v>554</v>
      </c>
      <c r="B101" s="1" t="s">
        <v>555</v>
      </c>
      <c r="C101" s="1">
        <v>10</v>
      </c>
      <c r="D101" s="1" t="s">
        <v>350</v>
      </c>
      <c r="E101" s="1" t="s">
        <v>351</v>
      </c>
      <c r="F101" s="1"/>
      <c r="G101" s="1"/>
      <c r="H101" s="1"/>
      <c r="I101" s="1"/>
      <c r="J101" s="1"/>
    </row>
    <row r="102" spans="1:10" ht="22" customHeight="1">
      <c r="A102" s="1" t="s">
        <v>556</v>
      </c>
      <c r="B102" s="1" t="s">
        <v>557</v>
      </c>
      <c r="C102" s="1">
        <v>8</v>
      </c>
      <c r="D102" s="1" t="s">
        <v>350</v>
      </c>
      <c r="E102" s="1" t="s">
        <v>351</v>
      </c>
      <c r="F102" s="1"/>
      <c r="G102" s="1"/>
      <c r="H102" s="1"/>
      <c r="I102" s="1"/>
      <c r="J102" s="1"/>
    </row>
    <row r="103" spans="1:10" ht="22" customHeight="1">
      <c r="A103" s="1" t="s">
        <v>558</v>
      </c>
      <c r="B103" s="1" t="s">
        <v>559</v>
      </c>
      <c r="C103" s="1">
        <v>8</v>
      </c>
      <c r="D103" s="1" t="s">
        <v>350</v>
      </c>
      <c r="E103" s="1" t="s">
        <v>351</v>
      </c>
      <c r="F103" s="1"/>
      <c r="G103" s="1"/>
      <c r="H103" s="1"/>
      <c r="I103" s="1"/>
      <c r="J103" s="1"/>
    </row>
    <row r="104" spans="1:10" ht="22" customHeight="1">
      <c r="A104" s="1" t="s">
        <v>560</v>
      </c>
      <c r="B104" s="1" t="s">
        <v>561</v>
      </c>
      <c r="C104" s="1">
        <v>7.5</v>
      </c>
      <c r="D104" s="1" t="s">
        <v>350</v>
      </c>
      <c r="E104" s="1" t="s">
        <v>351</v>
      </c>
      <c r="F104" s="1"/>
      <c r="G104" s="1"/>
      <c r="H104" s="1"/>
      <c r="I104" s="1"/>
      <c r="J104" s="1"/>
    </row>
    <row r="105" spans="1:10" ht="22" customHeight="1">
      <c r="A105" s="1" t="s">
        <v>562</v>
      </c>
      <c r="B105" s="1" t="s">
        <v>563</v>
      </c>
      <c r="C105" s="1">
        <v>8</v>
      </c>
      <c r="D105" s="1" t="s">
        <v>350</v>
      </c>
      <c r="E105" s="1" t="s">
        <v>351</v>
      </c>
      <c r="F105" s="1"/>
      <c r="G105" s="1"/>
      <c r="H105" s="1"/>
      <c r="I105" s="1"/>
      <c r="J105" s="1"/>
    </row>
    <row r="106" spans="1:10" ht="22" customHeight="1">
      <c r="A106" s="1" t="s">
        <v>564</v>
      </c>
      <c r="B106" s="1" t="s">
        <v>565</v>
      </c>
      <c r="C106" s="1">
        <v>8</v>
      </c>
      <c r="D106" s="1" t="s">
        <v>350</v>
      </c>
      <c r="E106" s="1" t="s">
        <v>351</v>
      </c>
      <c r="F106" s="1"/>
      <c r="G106" s="1"/>
      <c r="H106" s="1"/>
      <c r="I106" s="1"/>
      <c r="J106" s="1"/>
    </row>
    <row r="107" spans="1:10" ht="22" customHeight="1">
      <c r="A107" s="1" t="s">
        <v>566</v>
      </c>
      <c r="B107" s="1" t="s">
        <v>567</v>
      </c>
      <c r="C107" s="1">
        <v>9</v>
      </c>
      <c r="D107" s="1" t="s">
        <v>350</v>
      </c>
      <c r="E107" s="1" t="s">
        <v>351</v>
      </c>
      <c r="F107" s="1"/>
      <c r="G107" s="1"/>
      <c r="H107" s="1"/>
      <c r="I107" s="1"/>
      <c r="J107" s="1"/>
    </row>
    <row r="108" spans="1:10" ht="22" customHeight="1">
      <c r="A108" s="1" t="s">
        <v>568</v>
      </c>
      <c r="B108" s="1" t="s">
        <v>569</v>
      </c>
      <c r="C108" s="1">
        <v>8</v>
      </c>
      <c r="D108" s="1" t="s">
        <v>350</v>
      </c>
      <c r="E108" s="1" t="s">
        <v>351</v>
      </c>
      <c r="F108" s="1"/>
      <c r="G108" s="1"/>
      <c r="H108" s="1"/>
      <c r="I108" s="1"/>
      <c r="J108" s="1"/>
    </row>
    <row r="109" spans="1:10" ht="22" customHeight="1">
      <c r="A109" s="1" t="s">
        <v>570</v>
      </c>
      <c r="B109" s="1" t="s">
        <v>571</v>
      </c>
      <c r="C109" s="1">
        <v>8</v>
      </c>
      <c r="D109" s="1" t="s">
        <v>350</v>
      </c>
      <c r="E109" s="1" t="s">
        <v>351</v>
      </c>
      <c r="F109" s="1"/>
      <c r="G109" s="1"/>
      <c r="H109" s="1"/>
      <c r="I109" s="1"/>
      <c r="J109" s="1"/>
    </row>
    <row r="110" spans="1:10" ht="22" customHeight="1">
      <c r="A110" s="1" t="s">
        <v>572</v>
      </c>
      <c r="B110" s="1" t="s">
        <v>573</v>
      </c>
      <c r="C110" s="1">
        <v>8</v>
      </c>
      <c r="D110" s="1" t="s">
        <v>350</v>
      </c>
      <c r="E110" s="1" t="s">
        <v>351</v>
      </c>
      <c r="F110" s="1"/>
      <c r="G110" s="1"/>
      <c r="H110" s="1"/>
      <c r="I110" s="1"/>
      <c r="J110" s="1"/>
    </row>
    <row r="111" spans="1:10" ht="22" customHeight="1">
      <c r="A111" s="1" t="s">
        <v>574</v>
      </c>
      <c r="B111" s="1" t="s">
        <v>575</v>
      </c>
      <c r="C111" s="1">
        <v>9</v>
      </c>
      <c r="D111" s="1" t="s">
        <v>350</v>
      </c>
      <c r="E111" s="1" t="s">
        <v>351</v>
      </c>
      <c r="F111" s="1"/>
      <c r="G111" s="1"/>
      <c r="H111" s="1"/>
      <c r="I111" s="1"/>
      <c r="J111" s="1"/>
    </row>
    <row r="112" spans="1:10" ht="22" customHeight="1">
      <c r="A112" s="1" t="s">
        <v>576</v>
      </c>
      <c r="B112" s="1" t="s">
        <v>577</v>
      </c>
      <c r="C112" s="1">
        <v>8</v>
      </c>
      <c r="D112" s="1" t="s">
        <v>350</v>
      </c>
      <c r="E112" s="1" t="s">
        <v>351</v>
      </c>
      <c r="F112" s="1"/>
      <c r="G112" s="1"/>
      <c r="H112" s="1"/>
      <c r="I112" s="1"/>
      <c r="J112" s="1"/>
    </row>
    <row r="113" spans="1:10" ht="22" customHeight="1">
      <c r="A113" s="1" t="s">
        <v>578</v>
      </c>
      <c r="B113" s="1" t="s">
        <v>579</v>
      </c>
      <c r="C113" s="1">
        <v>8</v>
      </c>
      <c r="D113" s="1" t="s">
        <v>350</v>
      </c>
      <c r="E113" s="1" t="s">
        <v>351</v>
      </c>
      <c r="F113" s="1"/>
      <c r="G113" s="1"/>
      <c r="H113" s="1"/>
      <c r="I113" s="1"/>
      <c r="J113" s="1"/>
    </row>
    <row r="114" spans="1:10" ht="22" customHeight="1">
      <c r="A114" s="1" t="s">
        <v>580</v>
      </c>
      <c r="B114" s="1" t="s">
        <v>581</v>
      </c>
      <c r="C114" s="1">
        <v>8</v>
      </c>
      <c r="D114" s="1" t="s">
        <v>350</v>
      </c>
      <c r="E114" s="1" t="s">
        <v>351</v>
      </c>
      <c r="F114" s="1"/>
      <c r="G114" s="1"/>
      <c r="H114" s="1"/>
      <c r="I114" s="1"/>
      <c r="J114" s="1"/>
    </row>
    <row r="115" spans="1:10" ht="22" customHeight="1">
      <c r="A115" s="1" t="s">
        <v>582</v>
      </c>
      <c r="B115" s="1" t="s">
        <v>583</v>
      </c>
      <c r="C115" s="1">
        <v>8</v>
      </c>
      <c r="D115" s="1" t="s">
        <v>350</v>
      </c>
      <c r="E115" s="1" t="s">
        <v>351</v>
      </c>
      <c r="F115" s="1"/>
      <c r="G115" s="1"/>
      <c r="H115" s="1"/>
      <c r="I115" s="1"/>
      <c r="J115" s="1"/>
    </row>
    <row r="116" spans="1:10" ht="22" customHeight="1">
      <c r="A116" s="1" t="s">
        <v>584</v>
      </c>
      <c r="B116" s="1" t="s">
        <v>585</v>
      </c>
      <c r="C116" s="1">
        <v>8</v>
      </c>
      <c r="D116" s="1" t="s">
        <v>350</v>
      </c>
      <c r="E116" s="1" t="s">
        <v>351</v>
      </c>
      <c r="F116" s="1"/>
      <c r="G116" s="1"/>
      <c r="H116" s="1"/>
      <c r="I116" s="1"/>
      <c r="J116" s="1"/>
    </row>
    <row r="117" spans="1:10" ht="22" customHeight="1">
      <c r="A117" s="1" t="s">
        <v>586</v>
      </c>
      <c r="B117" s="1" t="s">
        <v>587</v>
      </c>
      <c r="C117" s="1">
        <v>8.5</v>
      </c>
      <c r="D117" s="1" t="s">
        <v>350</v>
      </c>
      <c r="E117" s="1" t="s">
        <v>351</v>
      </c>
      <c r="F117" s="1"/>
      <c r="G117" s="1"/>
      <c r="H117" s="1"/>
      <c r="I117" s="1"/>
      <c r="J117" s="1"/>
    </row>
    <row r="118" spans="1:10" ht="22" customHeight="1">
      <c r="A118" s="1" t="s">
        <v>588</v>
      </c>
      <c r="B118" s="1" t="s">
        <v>589</v>
      </c>
      <c r="C118" s="1">
        <v>8</v>
      </c>
      <c r="D118" s="1" t="s">
        <v>350</v>
      </c>
      <c r="E118" s="1" t="s">
        <v>351</v>
      </c>
      <c r="F118" s="1"/>
      <c r="G118" s="1"/>
      <c r="H118" s="1"/>
      <c r="I118" s="1"/>
      <c r="J118" s="1"/>
    </row>
    <row r="119" spans="1:10" ht="22" customHeight="1">
      <c r="A119" s="1" t="s">
        <v>590</v>
      </c>
      <c r="B119" s="1" t="s">
        <v>591</v>
      </c>
      <c r="C119" s="1">
        <v>8</v>
      </c>
      <c r="D119" s="1" t="s">
        <v>350</v>
      </c>
      <c r="E119" s="1" t="s">
        <v>351</v>
      </c>
      <c r="F119" s="1"/>
      <c r="G119" s="1"/>
      <c r="H119" s="1"/>
      <c r="I119" s="1"/>
      <c r="J119" s="1"/>
    </row>
    <row r="120" spans="1:10" ht="22" customHeight="1">
      <c r="A120" s="1" t="s">
        <v>592</v>
      </c>
      <c r="B120" s="1" t="s">
        <v>593</v>
      </c>
      <c r="C120" s="1">
        <v>9</v>
      </c>
      <c r="D120" s="1" t="s">
        <v>350</v>
      </c>
      <c r="E120" s="1" t="s">
        <v>351</v>
      </c>
      <c r="F120" s="1"/>
      <c r="G120" s="1"/>
      <c r="H120" s="1"/>
      <c r="I120" s="1"/>
      <c r="J120" s="1"/>
    </row>
    <row r="121" spans="1:10" ht="22" customHeight="1">
      <c r="A121" s="1" t="s">
        <v>594</v>
      </c>
      <c r="B121" s="1" t="s">
        <v>595</v>
      </c>
      <c r="C121" s="1">
        <v>7.5</v>
      </c>
      <c r="D121" s="1" t="s">
        <v>350</v>
      </c>
      <c r="E121" s="1" t="s">
        <v>351</v>
      </c>
      <c r="F121" s="1"/>
      <c r="G121" s="1"/>
      <c r="H121" s="1"/>
      <c r="I121" s="1"/>
      <c r="J121" s="1"/>
    </row>
    <row r="122" spans="1:10" ht="22" customHeight="1">
      <c r="A122" s="1" t="s">
        <v>596</v>
      </c>
      <c r="B122" s="1" t="s">
        <v>597</v>
      </c>
      <c r="C122" s="1">
        <v>9</v>
      </c>
      <c r="D122" s="1" t="s">
        <v>350</v>
      </c>
      <c r="E122" s="1" t="s">
        <v>351</v>
      </c>
      <c r="F122" s="1"/>
      <c r="G122" s="1"/>
      <c r="H122" s="1"/>
      <c r="I122" s="1"/>
      <c r="J122" s="1"/>
    </row>
    <row r="123" spans="1:10" ht="22" customHeight="1">
      <c r="A123" s="1" t="s">
        <v>598</v>
      </c>
      <c r="B123" s="1" t="s">
        <v>599</v>
      </c>
      <c r="C123" s="1">
        <v>8</v>
      </c>
      <c r="D123" s="1" t="s">
        <v>350</v>
      </c>
      <c r="E123" s="1" t="s">
        <v>351</v>
      </c>
      <c r="F123" s="1"/>
      <c r="G123" s="1"/>
      <c r="H123" s="1"/>
      <c r="I123" s="1"/>
      <c r="J123" s="1"/>
    </row>
    <row r="124" spans="1:10" ht="22" customHeight="1">
      <c r="A124" s="1" t="s">
        <v>600</v>
      </c>
      <c r="B124" s="1" t="s">
        <v>601</v>
      </c>
      <c r="C124" s="1">
        <v>8</v>
      </c>
      <c r="D124" s="1" t="s">
        <v>350</v>
      </c>
      <c r="E124" s="1" t="s">
        <v>351</v>
      </c>
      <c r="F124" s="1"/>
      <c r="G124" s="1"/>
      <c r="H124" s="1"/>
      <c r="I124" s="1"/>
      <c r="J124" s="1"/>
    </row>
    <row r="125" spans="1:10" ht="22" customHeight="1">
      <c r="A125" s="1" t="s">
        <v>602</v>
      </c>
      <c r="B125" s="1" t="s">
        <v>603</v>
      </c>
      <c r="C125" s="1">
        <v>7</v>
      </c>
      <c r="D125" s="1" t="s">
        <v>350</v>
      </c>
      <c r="E125" s="1" t="s">
        <v>351</v>
      </c>
      <c r="F125" s="1"/>
      <c r="G125" s="1"/>
      <c r="H125" s="1"/>
      <c r="I125" s="1"/>
      <c r="J125" s="1"/>
    </row>
    <row r="126" spans="1:10" ht="22" customHeight="1">
      <c r="A126" s="1" t="s">
        <v>604</v>
      </c>
      <c r="B126" s="1" t="s">
        <v>605</v>
      </c>
      <c r="C126" s="1">
        <v>8</v>
      </c>
      <c r="D126" s="1" t="s">
        <v>350</v>
      </c>
      <c r="E126" s="1" t="s">
        <v>351</v>
      </c>
      <c r="F126" s="1"/>
      <c r="G126" s="1"/>
      <c r="H126" s="1"/>
      <c r="I126" s="1"/>
      <c r="J126" s="1"/>
    </row>
    <row r="127" spans="1:10" ht="22" customHeight="1">
      <c r="A127" s="1" t="s">
        <v>606</v>
      </c>
      <c r="B127" s="1" t="s">
        <v>607</v>
      </c>
      <c r="C127" s="1">
        <v>8</v>
      </c>
      <c r="D127" s="1" t="s">
        <v>350</v>
      </c>
      <c r="E127" s="1" t="s">
        <v>351</v>
      </c>
      <c r="F127" s="1"/>
      <c r="G127" s="1"/>
      <c r="H127" s="1"/>
      <c r="I127" s="1"/>
      <c r="J127" s="1"/>
    </row>
    <row r="128" spans="1:10" ht="22" customHeight="1">
      <c r="A128" s="1" t="s">
        <v>608</v>
      </c>
      <c r="B128" s="1" t="s">
        <v>609</v>
      </c>
      <c r="C128" s="1">
        <v>8.5</v>
      </c>
      <c r="D128" s="1" t="s">
        <v>350</v>
      </c>
      <c r="E128" s="1" t="s">
        <v>351</v>
      </c>
      <c r="F128" s="1"/>
      <c r="G128" s="1"/>
      <c r="H128" s="1"/>
      <c r="I128" s="1"/>
      <c r="J128" s="1"/>
    </row>
    <row r="129" spans="1:10" ht="22" customHeight="1">
      <c r="A129" s="1" t="s">
        <v>610</v>
      </c>
      <c r="B129" s="1" t="s">
        <v>611</v>
      </c>
      <c r="C129" s="1">
        <v>10</v>
      </c>
      <c r="D129" s="1" t="s">
        <v>350</v>
      </c>
      <c r="E129" s="1" t="s">
        <v>351</v>
      </c>
      <c r="F129" s="1"/>
      <c r="G129" s="1"/>
      <c r="H129" s="1"/>
      <c r="I129" s="1"/>
      <c r="J129" s="1"/>
    </row>
    <row r="130" spans="1:10" ht="22" customHeight="1">
      <c r="A130" s="1" t="s">
        <v>612</v>
      </c>
      <c r="B130" s="1" t="s">
        <v>613</v>
      </c>
      <c r="C130" s="1">
        <v>8</v>
      </c>
      <c r="D130" s="1" t="s">
        <v>350</v>
      </c>
      <c r="E130" s="1" t="s">
        <v>351</v>
      </c>
      <c r="F130" s="1"/>
      <c r="G130" s="1"/>
      <c r="H130" s="1"/>
      <c r="I130" s="1"/>
      <c r="J130" s="1"/>
    </row>
    <row r="131" spans="1:10" ht="22" customHeight="1">
      <c r="A131" s="1" t="s">
        <v>614</v>
      </c>
      <c r="B131" s="1" t="s">
        <v>615</v>
      </c>
      <c r="C131" s="1">
        <v>9</v>
      </c>
      <c r="D131" s="1" t="s">
        <v>350</v>
      </c>
      <c r="E131" s="1" t="s">
        <v>351</v>
      </c>
      <c r="F131" s="1"/>
      <c r="G131" s="1"/>
      <c r="H131" s="1"/>
      <c r="I131" s="1"/>
      <c r="J131" s="1"/>
    </row>
    <row r="132" spans="1:10" ht="22" customHeight="1">
      <c r="A132" s="1" t="s">
        <v>616</v>
      </c>
      <c r="B132" s="1" t="s">
        <v>617</v>
      </c>
      <c r="C132" s="1">
        <v>9</v>
      </c>
      <c r="D132" s="1" t="s">
        <v>350</v>
      </c>
      <c r="E132" s="1" t="s">
        <v>351</v>
      </c>
      <c r="F132" s="1"/>
      <c r="G132" s="1"/>
      <c r="H132" s="1"/>
      <c r="I132" s="1"/>
      <c r="J132" s="1"/>
    </row>
    <row r="133" spans="1:10" ht="22" customHeight="1">
      <c r="A133" s="1" t="s">
        <v>618</v>
      </c>
      <c r="B133" s="1" t="s">
        <v>619</v>
      </c>
      <c r="C133" s="1">
        <v>7</v>
      </c>
      <c r="D133" s="1" t="s">
        <v>350</v>
      </c>
      <c r="E133" s="1" t="s">
        <v>351</v>
      </c>
      <c r="F133" s="1"/>
      <c r="G133" s="1"/>
      <c r="H133" s="1"/>
      <c r="I133" s="1"/>
      <c r="J133" s="1"/>
    </row>
    <row r="134" spans="1:10" ht="22" customHeight="1">
      <c r="A134" s="1" t="s">
        <v>620</v>
      </c>
      <c r="B134" s="1" t="s">
        <v>621</v>
      </c>
      <c r="C134" s="1">
        <v>8</v>
      </c>
      <c r="D134" s="1" t="s">
        <v>350</v>
      </c>
      <c r="E134" s="1" t="s">
        <v>351</v>
      </c>
      <c r="F134" s="1"/>
      <c r="G134" s="1"/>
      <c r="H134" s="1"/>
      <c r="I134" s="1"/>
      <c r="J134" s="1"/>
    </row>
    <row r="135" spans="1:10" ht="22" customHeight="1">
      <c r="A135" s="1" t="s">
        <v>622</v>
      </c>
      <c r="B135" s="1" t="s">
        <v>623</v>
      </c>
      <c r="C135" s="1">
        <v>9</v>
      </c>
      <c r="D135" s="1" t="s">
        <v>350</v>
      </c>
      <c r="E135" s="1" t="s">
        <v>351</v>
      </c>
      <c r="F135" s="1"/>
      <c r="G135" s="1"/>
      <c r="H135" s="1"/>
      <c r="I135" s="1"/>
      <c r="J135" s="1"/>
    </row>
    <row r="136" spans="1:10" ht="22" customHeight="1">
      <c r="A136" s="1" t="s">
        <v>624</v>
      </c>
      <c r="B136" s="1" t="s">
        <v>625</v>
      </c>
      <c r="C136" s="1">
        <v>12</v>
      </c>
      <c r="D136" s="1" t="s">
        <v>350</v>
      </c>
      <c r="E136" s="1" t="s">
        <v>351</v>
      </c>
      <c r="F136" s="1"/>
      <c r="G136" s="1"/>
      <c r="H136" s="1"/>
      <c r="I136" s="1"/>
      <c r="J136" s="1"/>
    </row>
    <row r="137" spans="1:10" ht="22" customHeight="1">
      <c r="A137" s="1" t="s">
        <v>626</v>
      </c>
      <c r="B137" s="1" t="s">
        <v>627</v>
      </c>
      <c r="C137" s="1">
        <v>9</v>
      </c>
      <c r="D137" s="1" t="s">
        <v>350</v>
      </c>
      <c r="E137" s="1" t="s">
        <v>351</v>
      </c>
      <c r="F137" s="1"/>
      <c r="G137" s="1"/>
      <c r="H137" s="1"/>
      <c r="I137" s="1"/>
      <c r="J137" s="1"/>
    </row>
    <row r="138" spans="1:10" ht="22" customHeight="1">
      <c r="A138" s="1" t="s">
        <v>628</v>
      </c>
      <c r="B138" s="1" t="s">
        <v>629</v>
      </c>
      <c r="C138" s="1">
        <v>9</v>
      </c>
      <c r="D138" s="1" t="s">
        <v>350</v>
      </c>
      <c r="E138" s="1" t="s">
        <v>351</v>
      </c>
      <c r="F138" s="1"/>
      <c r="G138" s="1"/>
      <c r="H138" s="1"/>
      <c r="I138" s="1"/>
      <c r="J138" s="1"/>
    </row>
    <row r="139" spans="1:10" ht="22" customHeight="1">
      <c r="A139" s="1" t="s">
        <v>630</v>
      </c>
      <c r="B139" s="1" t="s">
        <v>631</v>
      </c>
      <c r="C139" s="1">
        <v>8</v>
      </c>
      <c r="D139" s="1" t="s">
        <v>350</v>
      </c>
      <c r="E139" s="1" t="s">
        <v>351</v>
      </c>
      <c r="F139" s="1"/>
      <c r="G139" s="1"/>
      <c r="H139" s="1"/>
      <c r="I139" s="1"/>
      <c r="J139" s="1"/>
    </row>
    <row r="140" spans="1:10" ht="22" customHeight="1">
      <c r="A140" s="1" t="s">
        <v>632</v>
      </c>
      <c r="B140" s="1" t="s">
        <v>633</v>
      </c>
      <c r="C140" s="1">
        <v>8</v>
      </c>
      <c r="D140" s="1" t="s">
        <v>350</v>
      </c>
      <c r="E140" s="1" t="s">
        <v>351</v>
      </c>
      <c r="F140" s="1"/>
      <c r="G140" s="1"/>
      <c r="H140" s="1"/>
      <c r="I140" s="1"/>
      <c r="J140" s="1"/>
    </row>
    <row r="141" spans="1:10" ht="22" customHeight="1">
      <c r="A141" s="1" t="s">
        <v>634</v>
      </c>
      <c r="B141" s="1" t="s">
        <v>635</v>
      </c>
      <c r="C141" s="1">
        <v>9</v>
      </c>
      <c r="D141" s="1" t="s">
        <v>350</v>
      </c>
      <c r="E141" s="1" t="s">
        <v>351</v>
      </c>
      <c r="F141" s="1"/>
      <c r="G141" s="1"/>
      <c r="H141" s="1"/>
      <c r="I141" s="1"/>
      <c r="J141" s="1"/>
    </row>
    <row r="142" spans="1:10" ht="22" customHeight="1">
      <c r="A142" s="1" t="s">
        <v>636</v>
      </c>
      <c r="B142" s="1" t="s">
        <v>637</v>
      </c>
      <c r="C142" s="1">
        <v>8</v>
      </c>
      <c r="D142" s="1" t="s">
        <v>350</v>
      </c>
      <c r="E142" s="1" t="s">
        <v>351</v>
      </c>
      <c r="F142" s="1"/>
      <c r="G142" s="1"/>
      <c r="H142" s="1"/>
      <c r="I142" s="1"/>
      <c r="J142" s="1"/>
    </row>
    <row r="143" spans="1:10" ht="22" customHeight="1">
      <c r="A143" s="1" t="s">
        <v>638</v>
      </c>
      <c r="B143" s="1" t="s">
        <v>639</v>
      </c>
      <c r="C143" s="1">
        <v>9</v>
      </c>
      <c r="D143" s="1" t="s">
        <v>350</v>
      </c>
      <c r="E143" s="1" t="s">
        <v>351</v>
      </c>
      <c r="F143" s="1"/>
      <c r="G143" s="1"/>
      <c r="H143" s="1"/>
      <c r="I143" s="1"/>
      <c r="J143" s="1"/>
    </row>
    <row r="144" spans="1:10" ht="22" customHeight="1">
      <c r="A144" s="1" t="s">
        <v>640</v>
      </c>
      <c r="B144" s="1" t="s">
        <v>641</v>
      </c>
      <c r="C144" s="1">
        <v>8</v>
      </c>
      <c r="D144" s="1" t="s">
        <v>350</v>
      </c>
      <c r="E144" s="1" t="s">
        <v>351</v>
      </c>
      <c r="F144" s="1"/>
      <c r="G144" s="1"/>
      <c r="H144" s="1"/>
      <c r="I144" s="1"/>
      <c r="J144" s="1"/>
    </row>
    <row r="145" spans="1:10" ht="22" customHeight="1">
      <c r="A145" s="1" t="s">
        <v>642</v>
      </c>
      <c r="B145" s="1" t="s">
        <v>643</v>
      </c>
      <c r="C145" s="1">
        <v>9</v>
      </c>
      <c r="D145" s="1" t="s">
        <v>350</v>
      </c>
      <c r="E145" s="1" t="s">
        <v>351</v>
      </c>
      <c r="F145" s="1"/>
      <c r="G145" s="1"/>
      <c r="H145" s="1"/>
      <c r="I145" s="1"/>
      <c r="J145" s="1"/>
    </row>
    <row r="146" spans="1:10" ht="22" customHeight="1">
      <c r="A146" s="1" t="s">
        <v>644</v>
      </c>
      <c r="B146" s="1" t="s">
        <v>645</v>
      </c>
      <c r="C146" s="1">
        <v>8</v>
      </c>
      <c r="D146" s="1" t="s">
        <v>350</v>
      </c>
      <c r="E146" s="1" t="s">
        <v>351</v>
      </c>
      <c r="F146" s="1"/>
      <c r="G146" s="1"/>
      <c r="H146" s="1"/>
      <c r="I146" s="1"/>
      <c r="J146" s="1"/>
    </row>
    <row r="147" spans="1:10" ht="22" customHeight="1">
      <c r="A147" s="1" t="s">
        <v>646</v>
      </c>
      <c r="B147" s="1" t="s">
        <v>647</v>
      </c>
      <c r="C147" s="1">
        <v>9</v>
      </c>
      <c r="D147" s="1" t="s">
        <v>350</v>
      </c>
      <c r="E147" s="1" t="s">
        <v>351</v>
      </c>
      <c r="F147" s="1"/>
      <c r="G147" s="1"/>
      <c r="H147" s="1"/>
      <c r="I147" s="1"/>
      <c r="J147" s="1"/>
    </row>
    <row r="148" spans="1:10" ht="22" customHeight="1">
      <c r="A148" s="1" t="s">
        <v>648</v>
      </c>
      <c r="B148" s="1" t="s">
        <v>649</v>
      </c>
      <c r="C148" s="1">
        <v>9</v>
      </c>
      <c r="D148" s="1" t="s">
        <v>350</v>
      </c>
      <c r="E148" s="1" t="s">
        <v>351</v>
      </c>
      <c r="F148" s="1"/>
      <c r="G148" s="1"/>
      <c r="H148" s="1"/>
      <c r="I148" s="1"/>
      <c r="J148" s="1"/>
    </row>
    <row r="149" spans="1:10" ht="22" customHeight="1">
      <c r="A149" s="1" t="s">
        <v>650</v>
      </c>
      <c r="B149" s="1" t="s">
        <v>651</v>
      </c>
      <c r="C149" s="1">
        <v>9</v>
      </c>
      <c r="D149" s="1" t="s">
        <v>350</v>
      </c>
      <c r="E149" s="1" t="s">
        <v>351</v>
      </c>
      <c r="F149" s="1"/>
      <c r="G149" s="1"/>
      <c r="H149" s="1"/>
      <c r="I149" s="1"/>
      <c r="J149" s="1"/>
    </row>
    <row r="150" spans="1:10" ht="22" customHeight="1">
      <c r="A150" s="1" t="s">
        <v>652</v>
      </c>
      <c r="B150" s="1" t="s">
        <v>653</v>
      </c>
      <c r="C150" s="1">
        <v>8</v>
      </c>
      <c r="D150" s="1" t="s">
        <v>350</v>
      </c>
      <c r="E150" s="1" t="s">
        <v>351</v>
      </c>
      <c r="F150" s="1"/>
      <c r="G150" s="1"/>
      <c r="H150" s="1"/>
      <c r="I150" s="1"/>
      <c r="J150" s="1"/>
    </row>
    <row r="151" spans="1:10" ht="22" customHeight="1">
      <c r="A151" s="1" t="s">
        <v>654</v>
      </c>
      <c r="B151" s="1" t="s">
        <v>655</v>
      </c>
      <c r="C151" s="1">
        <v>9</v>
      </c>
      <c r="D151" s="1" t="s">
        <v>350</v>
      </c>
      <c r="E151" s="1" t="s">
        <v>351</v>
      </c>
      <c r="F151" s="1"/>
      <c r="G151" s="1"/>
      <c r="H151" s="1"/>
      <c r="I151" s="1"/>
      <c r="J151" s="1"/>
    </row>
    <row r="152" spans="1:10" ht="22" customHeight="1">
      <c r="A152" s="1" t="s">
        <v>656</v>
      </c>
      <c r="B152" s="1" t="s">
        <v>657</v>
      </c>
      <c r="C152" s="1">
        <v>8</v>
      </c>
      <c r="D152" s="1" t="s">
        <v>350</v>
      </c>
      <c r="E152" s="1" t="s">
        <v>351</v>
      </c>
      <c r="F152" s="1"/>
      <c r="G152" s="1"/>
      <c r="H152" s="1"/>
      <c r="I152" s="1"/>
      <c r="J152" s="1"/>
    </row>
    <row r="153" spans="1:10" ht="22" customHeight="1">
      <c r="A153" s="1" t="s">
        <v>658</v>
      </c>
      <c r="B153" s="1" t="s">
        <v>659</v>
      </c>
      <c r="C153" s="1">
        <v>8</v>
      </c>
      <c r="D153" s="1" t="s">
        <v>350</v>
      </c>
      <c r="E153" s="1" t="s">
        <v>351</v>
      </c>
      <c r="F153" s="1"/>
      <c r="G153" s="1"/>
      <c r="H153" s="1"/>
      <c r="I153" s="1"/>
      <c r="J153" s="1"/>
    </row>
    <row r="154" spans="1:10" ht="22" customHeight="1">
      <c r="A154" s="1" t="s">
        <v>660</v>
      </c>
      <c r="B154" s="1" t="s">
        <v>661</v>
      </c>
      <c r="C154" s="1">
        <v>9</v>
      </c>
      <c r="D154" s="1" t="s">
        <v>350</v>
      </c>
      <c r="E154" s="1" t="s">
        <v>351</v>
      </c>
      <c r="F154" s="1"/>
      <c r="G154" s="1"/>
      <c r="H154" s="1"/>
      <c r="I154" s="1"/>
      <c r="J154" s="1"/>
    </row>
    <row r="155" spans="1:10" ht="22" customHeight="1">
      <c r="A155" s="1" t="s">
        <v>662</v>
      </c>
      <c r="B155" s="1" t="s">
        <v>663</v>
      </c>
      <c r="C155" s="1">
        <v>8</v>
      </c>
      <c r="D155" s="1" t="s">
        <v>350</v>
      </c>
      <c r="E155" s="1" t="s">
        <v>351</v>
      </c>
      <c r="F155" s="1"/>
      <c r="G155" s="1"/>
      <c r="H155" s="1"/>
      <c r="I155" s="1"/>
      <c r="J155" s="1"/>
    </row>
    <row r="156" spans="1:10" ht="22" customHeight="1">
      <c r="A156" s="1" t="s">
        <v>664</v>
      </c>
      <c r="B156" s="1" t="s">
        <v>665</v>
      </c>
      <c r="C156" s="1">
        <v>9</v>
      </c>
      <c r="D156" s="1" t="s">
        <v>350</v>
      </c>
      <c r="E156" s="1" t="s">
        <v>351</v>
      </c>
      <c r="F156" s="1"/>
      <c r="G156" s="1"/>
      <c r="H156" s="1"/>
      <c r="I156" s="1"/>
      <c r="J156" s="1"/>
    </row>
    <row r="157" spans="1:10" ht="22" customHeight="1">
      <c r="A157" s="1" t="s">
        <v>666</v>
      </c>
      <c r="B157" s="1" t="s">
        <v>667</v>
      </c>
      <c r="C157" s="1">
        <v>9</v>
      </c>
      <c r="D157" s="1" t="s">
        <v>350</v>
      </c>
      <c r="E157" s="1" t="s">
        <v>351</v>
      </c>
      <c r="F157" s="1"/>
      <c r="G157" s="1"/>
      <c r="H157" s="1"/>
      <c r="I157" s="1"/>
      <c r="J157" s="1"/>
    </row>
    <row r="158" spans="1:10" ht="22" customHeight="1">
      <c r="A158" s="1" t="s">
        <v>668</v>
      </c>
      <c r="B158" s="1" t="s">
        <v>669</v>
      </c>
      <c r="C158" s="1">
        <v>9</v>
      </c>
      <c r="D158" s="1" t="s">
        <v>350</v>
      </c>
      <c r="E158" s="1" t="s">
        <v>351</v>
      </c>
      <c r="F158" s="1"/>
      <c r="G158" s="1"/>
      <c r="H158" s="1"/>
      <c r="I158" s="1"/>
      <c r="J158" s="1"/>
    </row>
    <row r="159" spans="1:10" ht="22" customHeight="1">
      <c r="A159" s="1" t="s">
        <v>670</v>
      </c>
      <c r="B159" s="1" t="s">
        <v>671</v>
      </c>
      <c r="C159" s="1">
        <v>8</v>
      </c>
      <c r="D159" s="1" t="s">
        <v>350</v>
      </c>
      <c r="E159" s="1" t="s">
        <v>351</v>
      </c>
      <c r="F159" s="1"/>
      <c r="G159" s="1"/>
      <c r="H159" s="1"/>
      <c r="I159" s="1"/>
      <c r="J159" s="1"/>
    </row>
    <row r="160" spans="1:10" ht="22" customHeight="1">
      <c r="A160" s="1" t="s">
        <v>672</v>
      </c>
      <c r="B160" s="1" t="s">
        <v>673</v>
      </c>
      <c r="C160" s="1">
        <v>8</v>
      </c>
      <c r="D160" s="1" t="s">
        <v>350</v>
      </c>
      <c r="E160" s="1" t="s">
        <v>351</v>
      </c>
      <c r="F160" s="1"/>
      <c r="G160" s="1"/>
      <c r="H160" s="1"/>
      <c r="I160" s="1"/>
      <c r="J160" s="1"/>
    </row>
    <row r="161" spans="1:10" ht="22" customHeight="1">
      <c r="A161" s="1" t="s">
        <v>674</v>
      </c>
      <c r="B161" s="1" t="s">
        <v>675</v>
      </c>
      <c r="C161" s="1">
        <v>9</v>
      </c>
      <c r="D161" s="1" t="s">
        <v>350</v>
      </c>
      <c r="E161" s="1" t="s">
        <v>351</v>
      </c>
      <c r="F161" s="1"/>
      <c r="G161" s="1"/>
      <c r="H161" s="1"/>
      <c r="I161" s="1"/>
      <c r="J161" s="1"/>
    </row>
    <row r="162" spans="1:10" ht="22" customHeight="1">
      <c r="A162" s="1" t="s">
        <v>676</v>
      </c>
      <c r="B162" s="1" t="s">
        <v>677</v>
      </c>
      <c r="C162" s="1">
        <v>8</v>
      </c>
      <c r="D162" s="1" t="s">
        <v>350</v>
      </c>
      <c r="E162" s="1" t="s">
        <v>351</v>
      </c>
      <c r="F162" s="1"/>
      <c r="G162" s="1"/>
      <c r="H162" s="1"/>
      <c r="I162" s="1"/>
      <c r="J162" s="1"/>
    </row>
    <row r="163" spans="1:10" ht="22" customHeight="1">
      <c r="A163" s="1" t="s">
        <v>678</v>
      </c>
      <c r="B163" s="1" t="s">
        <v>679</v>
      </c>
      <c r="C163" s="1">
        <v>8</v>
      </c>
      <c r="D163" s="1" t="s">
        <v>350</v>
      </c>
      <c r="E163" s="1" t="s">
        <v>351</v>
      </c>
      <c r="F163" s="1"/>
      <c r="G163" s="1"/>
      <c r="H163" s="1"/>
      <c r="I163" s="1"/>
      <c r="J163" s="1"/>
    </row>
    <row r="164" spans="1:10" ht="22" customHeight="1">
      <c r="A164" s="1" t="s">
        <v>680</v>
      </c>
      <c r="B164" s="1" t="s">
        <v>681</v>
      </c>
      <c r="C164" s="1">
        <v>24.5</v>
      </c>
      <c r="D164" s="1" t="s">
        <v>350</v>
      </c>
      <c r="E164" s="1" t="s">
        <v>351</v>
      </c>
      <c r="F164" s="1"/>
      <c r="G164" s="1"/>
      <c r="H164" s="1"/>
      <c r="I164" s="1"/>
      <c r="J164" s="1"/>
    </row>
    <row r="165" spans="1:10" ht="2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2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2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2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2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2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2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2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2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2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2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2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</sheetData>
  <mergeCells count="9">
    <mergeCell ref="G27:J29"/>
    <mergeCell ref="G31:J33"/>
    <mergeCell ref="G36:J38"/>
    <mergeCell ref="G42:J44"/>
    <mergeCell ref="G11:J13"/>
    <mergeCell ref="G14:J16"/>
    <mergeCell ref="G17:J19"/>
    <mergeCell ref="G20:J22"/>
    <mergeCell ref="G23:J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BD5DF"/>
  </sheetPr>
  <dimension ref="A1:D32"/>
  <sheetViews>
    <sheetView showGridLines="0" workbookViewId="0"/>
  </sheetViews>
  <sheetFormatPr baseColWidth="10" defaultColWidth="8.83203125" defaultRowHeight="14"/>
  <cols>
    <col min="1" max="1" width="46" customWidth="1"/>
    <col min="2" max="3" width="17" customWidth="1"/>
    <col min="4" max="4" width="83" customWidth="1"/>
  </cols>
  <sheetData>
    <row r="1" spans="1:4" ht="22" customHeight="1">
      <c r="A1" s="1"/>
      <c r="B1" s="1"/>
      <c r="C1" s="1"/>
      <c r="D1" s="1"/>
    </row>
    <row r="2" spans="1:4" ht="22" customHeight="1">
      <c r="A2" s="2" t="s">
        <v>682</v>
      </c>
      <c r="B2" s="1"/>
      <c r="C2" s="1"/>
      <c r="D2" s="1"/>
    </row>
    <row r="3" spans="1:4" ht="22" customHeight="1">
      <c r="A3" s="1"/>
      <c r="B3" s="1"/>
      <c r="C3" s="1"/>
      <c r="D3" s="1"/>
    </row>
    <row r="4" spans="1:4" ht="22" customHeight="1">
      <c r="A4" s="1"/>
      <c r="B4" s="1"/>
      <c r="C4" s="1"/>
      <c r="D4" s="1"/>
    </row>
    <row r="5" spans="1:4" ht="42" customHeight="1">
      <c r="A5" s="3" t="s">
        <v>683</v>
      </c>
      <c r="B5" s="3" t="s">
        <v>684</v>
      </c>
      <c r="C5" s="3" t="s">
        <v>685</v>
      </c>
      <c r="D5" s="3" t="s">
        <v>686</v>
      </c>
    </row>
    <row r="6" spans="1:4" ht="22" customHeight="1">
      <c r="A6" s="1" t="s">
        <v>687</v>
      </c>
      <c r="B6" s="26">
        <f>SUMPRODUCT(--('Case inputs'!I6:I205&lt;&gt;""))-Forecast!B5-Forecast!E5</f>
        <v>0</v>
      </c>
      <c r="C6" s="26">
        <v>0</v>
      </c>
      <c r="D6" s="1" t="s">
        <v>688</v>
      </c>
    </row>
    <row r="7" spans="1:4" ht="22" customHeight="1">
      <c r="A7" s="1" t="s">
        <v>689</v>
      </c>
      <c r="B7" s="26">
        <f>Forecast!B5-SUM('Case calculations'!U6:U205)</f>
        <v>0</v>
      </c>
      <c r="C7" s="26">
        <v>0</v>
      </c>
      <c r="D7" s="1" t="s">
        <v>690</v>
      </c>
    </row>
    <row r="8" spans="1:4" ht="22" customHeight="1">
      <c r="A8" s="1" t="s">
        <v>691</v>
      </c>
      <c r="B8" s="26">
        <f>Forecast!B5-SUM('Case calculations'!N6:R205)</f>
        <v>0</v>
      </c>
      <c r="C8" s="26">
        <v>0</v>
      </c>
      <c r="D8" s="1" t="s">
        <v>692</v>
      </c>
    </row>
    <row r="9" spans="1:4" ht="22" customHeight="1">
      <c r="A9" s="1" t="s">
        <v>693</v>
      </c>
      <c r="B9" s="26">
        <f>SUM('Case calculations'!P6:P205)-SUM(Forecast!E14:E37)-Forecast!H39</f>
        <v>-1.4210854715202004E-14</v>
      </c>
      <c r="C9" s="26">
        <v>0</v>
      </c>
      <c r="D9" s="1" t="s">
        <v>694</v>
      </c>
    </row>
    <row r="10" spans="1:4" ht="22" customHeight="1">
      <c r="A10" s="1" t="s">
        <v>695</v>
      </c>
      <c r="B10" s="26">
        <f>SUM('Cash flows'!F6:F605)-SUM(Forecast!I14:I37)-SUMIFS('Cash flows'!F6:F605,'Cash flows'!H6:H605,"BEYOND HORIZON")-SUMIFS('Cash flows'!F6:F605,'Cash flows'!H6:H605,"BEFORE AS-OF")</f>
        <v>4.0017766878008842E-11</v>
      </c>
      <c r="C10" s="26">
        <v>0</v>
      </c>
      <c r="D10" s="1" t="s">
        <v>696</v>
      </c>
    </row>
    <row r="11" spans="1:4" ht="22" customHeight="1">
      <c r="A11" s="1" t="s">
        <v>697</v>
      </c>
      <c r="B11" s="26">
        <f>SUMIFS('Cash flows'!F6:F605,'Cash flows'!C6:C605,"INITIAL")-SUM('Case calculations'!N6:N205)*Assumptions!$B$28</f>
        <v>0</v>
      </c>
      <c r="C11" s="26">
        <v>0</v>
      </c>
      <c r="D11" s="1" t="s">
        <v>698</v>
      </c>
    </row>
    <row r="12" spans="1:4" ht="22" customHeight="1">
      <c r="A12" s="1" t="s">
        <v>699</v>
      </c>
      <c r="B12" s="26">
        <f>SUMIFS('Cash flows'!F6:F605,'Cash flows'!C6:C605,"RECON")-SUM('Case calculations'!O6:O205)*Assumptions!$B$29</f>
        <v>0</v>
      </c>
      <c r="C12" s="26">
        <v>0</v>
      </c>
      <c r="D12" s="1" t="s">
        <v>700</v>
      </c>
    </row>
    <row r="13" spans="1:4" ht="22" customHeight="1">
      <c r="A13" s="1" t="s">
        <v>701</v>
      </c>
      <c r="B13" s="26">
        <f>SUMIFS('Cash flows'!F6:F605,'Cash flows'!C6:C605,"HEARING")-SUM('Case calculations'!S6:S205)*Assumptions!$B$30</f>
        <v>0</v>
      </c>
      <c r="C13" s="26">
        <v>0</v>
      </c>
      <c r="D13" s="1" t="s">
        <v>702</v>
      </c>
    </row>
    <row r="14" spans="1:4" ht="22" customHeight="1">
      <c r="A14" s="1" t="s">
        <v>703</v>
      </c>
      <c r="B14" s="26">
        <f>Forecast!E5</f>
        <v>0</v>
      </c>
      <c r="C14" s="26">
        <v>0</v>
      </c>
      <c r="D14" s="1" t="s">
        <v>704</v>
      </c>
    </row>
    <row r="15" spans="1:4" ht="22" customHeight="1">
      <c r="A15" s="1" t="s">
        <v>705</v>
      </c>
      <c r="B15" s="26">
        <f>SUMPRODUCT(--('Matched history'!I6:I305&lt;&gt;""))-COUNTIFS('Matched history'!I6:I305,"OK")</f>
        <v>0</v>
      </c>
      <c r="C15" s="26">
        <v>0</v>
      </c>
      <c r="D15" s="1" t="s">
        <v>706</v>
      </c>
    </row>
    <row r="16" spans="1:4" ht="22" customHeight="1">
      <c r="A16" s="1" t="s">
        <v>707</v>
      </c>
      <c r="B16" s="26">
        <f>COUNTA('Case inputs'!A206:H1000)-1</f>
        <v>0</v>
      </c>
      <c r="C16" s="26">
        <v>0</v>
      </c>
      <c r="D16" s="1" t="s">
        <v>708</v>
      </c>
    </row>
    <row r="17" spans="1:4" ht="22" customHeight="1">
      <c r="A17" s="1" t="s">
        <v>709</v>
      </c>
      <c r="B17" s="26">
        <f>COUNTA('Matched history'!A306:H1000)</f>
        <v>0</v>
      </c>
      <c r="C17" s="26">
        <v>0</v>
      </c>
      <c r="D17" s="1" t="s">
        <v>710</v>
      </c>
    </row>
    <row r="18" spans="1:4" ht="22" customHeight="1">
      <c r="A18" s="1" t="s">
        <v>711</v>
      </c>
      <c r="B18" s="26">
        <f>SUMIFS('Cash flows'!F6:F605,'Cash flows'!H6:H605,"BEFORE AS-OF")</f>
        <v>0</v>
      </c>
      <c r="C18" s="26">
        <v>0</v>
      </c>
      <c r="D18" s="1" t="s">
        <v>712</v>
      </c>
    </row>
    <row r="19" spans="1:4" ht="22" customHeight="1">
      <c r="A19" s="1"/>
      <c r="B19" s="1"/>
      <c r="C19" s="1"/>
      <c r="D19" s="1"/>
    </row>
    <row r="20" spans="1:4" ht="22" customHeight="1">
      <c r="A20" s="1"/>
      <c r="B20" s="1"/>
      <c r="C20" s="1"/>
      <c r="D20" s="1"/>
    </row>
    <row r="21" spans="1:4" ht="45" customHeight="1">
      <c r="A21" s="32" t="s">
        <v>713</v>
      </c>
      <c r="B21" s="29"/>
      <c r="C21" s="29"/>
      <c r="D21" s="29"/>
    </row>
    <row r="22" spans="1:4" ht="22" customHeight="1">
      <c r="A22" s="1"/>
      <c r="B22" s="1"/>
      <c r="C22" s="1"/>
      <c r="D22" s="1"/>
    </row>
    <row r="23" spans="1:4" ht="22" customHeight="1">
      <c r="A23" s="1"/>
      <c r="B23" s="1"/>
      <c r="C23" s="1"/>
      <c r="D23" s="1"/>
    </row>
    <row r="24" spans="1:4" ht="22" customHeight="1">
      <c r="A24" s="1"/>
      <c r="B24" s="1"/>
      <c r="C24" s="1"/>
      <c r="D24" s="1"/>
    </row>
    <row r="25" spans="1:4" ht="22" customHeight="1">
      <c r="A25" s="1"/>
      <c r="B25" s="1"/>
      <c r="C25" s="1"/>
      <c r="D25" s="1"/>
    </row>
    <row r="26" spans="1:4" ht="22" customHeight="1">
      <c r="A26" s="1"/>
      <c r="B26" s="1"/>
      <c r="C26" s="1"/>
      <c r="D26" s="1"/>
    </row>
    <row r="27" spans="1:4" ht="22" customHeight="1">
      <c r="A27" s="1"/>
      <c r="B27" s="1"/>
      <c r="C27" s="1"/>
      <c r="D27" s="1"/>
    </row>
    <row r="28" spans="1:4" ht="22" customHeight="1">
      <c r="A28" s="1"/>
      <c r="B28" s="1"/>
      <c r="C28" s="1"/>
      <c r="D28" s="1"/>
    </row>
    <row r="29" spans="1:4" ht="22" customHeight="1">
      <c r="A29" s="1"/>
      <c r="B29" s="1"/>
      <c r="C29" s="1"/>
      <c r="D29" s="1"/>
    </row>
    <row r="30" spans="1:4" ht="22" customHeight="1">
      <c r="A30" s="1"/>
      <c r="B30" s="1"/>
      <c r="C30" s="1"/>
      <c r="D30" s="1"/>
    </row>
    <row r="31" spans="1:4" ht="22" customHeight="1">
      <c r="A31" s="1"/>
      <c r="B31" s="1"/>
      <c r="C31" s="1"/>
      <c r="D31" s="1"/>
    </row>
    <row r="32" spans="1:4" ht="22" customHeight="1">
      <c r="A32" s="1"/>
      <c r="B32" s="1"/>
      <c r="C32" s="1"/>
      <c r="D32" s="1"/>
    </row>
  </sheetData>
  <mergeCells count="1">
    <mergeCell ref="A21:D21"/>
  </mergeCells>
  <conditionalFormatting sqref="B6:B18">
    <cfRule type="expression" dxfId="0" priority="1">
      <formula>ABS(B6)&gt;0.000001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 Me</vt:lpstr>
      <vt:lpstr>Forecast</vt:lpstr>
      <vt:lpstr>Worked initial case</vt:lpstr>
      <vt:lpstr>Assumptions</vt:lpstr>
      <vt:lpstr>Case calculations</vt:lpstr>
      <vt:lpstr>Cash flows</vt:lpstr>
      <vt:lpstr>Case inputs</vt:lpstr>
      <vt:lpstr>Matched history</vt:lpstr>
      <vt:lpstr>Benchmarks</vt:lpstr>
      <vt:lpstr>Forecast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Yang</cp:lastModifiedBy>
  <dcterms:modified xsi:type="dcterms:W3CDTF">2026-10-07T20:07:24Z</dcterms:modified>
</cp:coreProperties>
</file>